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br" sheetId="1" r:id="rId1"/>
    <sheet name="Sheet1" sheetId="2" r:id="rId2"/>
  </sheets>
  <definedNames>
    <definedName name="\P">'c2b br'!#REF!</definedName>
    <definedName name="ACAD_SUPP">'c2b br'!$A$407</definedName>
    <definedName name="DASH">'c2b br'!#REF!</definedName>
    <definedName name="H_1">'c2b br'!$A$3:$Q$14</definedName>
    <definedName name="INSTIT_SUPP">'c2b br'!$A$486</definedName>
    <definedName name="P_1">'c2b br'!$A$15:$Q$551</definedName>
    <definedName name="_xlnm.Print_Area" localSheetId="0">'c2b br'!$A$15:$Q$551</definedName>
    <definedName name="_xlnm.Print_Titles" localSheetId="0">'c2b br'!$1:$14</definedName>
    <definedName name="Print_Titles_MI">'c2b br'!$3:$14</definedName>
    <definedName name="PUBLIC_SERV">'c2b br'!$A$289</definedName>
    <definedName name="RESEARCH">'c2b br'!$A$153</definedName>
    <definedName name="STUD_SERV">'c2b br'!$A$453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V151" authorId="0">
      <text>
        <r>
          <rPr>
            <sz val="8"/>
            <rFont val="Tahoma"/>
            <family val="2"/>
          </rPr>
          <t>Formula failed to convert</t>
        </r>
      </text>
    </comment>
    <comment ref="Z151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<sst xmlns="http://schemas.openxmlformats.org/spreadsheetml/2006/main" count="1149" uniqueCount="313">
  <si>
    <t>Source</t>
  </si>
  <si>
    <t>Object</t>
  </si>
  <si>
    <t>Indirect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</si>
  <si>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</si>
  <si>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</si>
  <si>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</si>
  <si>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</si>
  <si>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</si>
  <si>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</si>
  <si>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</si>
  <si>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</si>
  <si>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</si>
  <si>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</si>
  <si>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Agriculture-</t>
  </si>
  <si>
    <t xml:space="preserve">  Arts and sciences-</t>
  </si>
  <si>
    <t/>
  </si>
  <si>
    <t xml:space="preserve"> </t>
  </si>
  <si>
    <t xml:space="preserve">  Basic sciences-</t>
  </si>
  <si>
    <t xml:space="preserve">  Business administration-</t>
  </si>
  <si>
    <t xml:space="preserve">  Continuing education-</t>
  </si>
  <si>
    <t xml:space="preserve">  Education-</t>
  </si>
  <si>
    <t xml:space="preserve">  Engineering-</t>
  </si>
  <si>
    <t xml:space="preserve">  Music and dramatic arts-</t>
  </si>
  <si>
    <t xml:space="preserve"> Research--</t>
  </si>
  <si>
    <t xml:space="preserve">  Research and economic development-</t>
  </si>
  <si>
    <t xml:space="preserve">  Veterinary medicine-</t>
  </si>
  <si>
    <t xml:space="preserve">  </t>
  </si>
  <si>
    <t xml:space="preserve">  Libraries-</t>
  </si>
  <si>
    <t xml:space="preserve">  Museums-</t>
  </si>
  <si>
    <t xml:space="preserve">  Academic administration-</t>
  </si>
  <si>
    <t xml:space="preserve">  Counseling and career guidance-</t>
  </si>
  <si>
    <t xml:space="preserve">  Social and cultural development -</t>
  </si>
  <si>
    <t xml:space="preserve">  Executive management-</t>
  </si>
  <si>
    <t xml:space="preserve">  Fiscal operations-</t>
  </si>
  <si>
    <t xml:space="preserve">  General administrative services-</t>
  </si>
  <si>
    <t xml:space="preserve">  Public relations and development-</t>
  </si>
  <si>
    <t xml:space="preserve"> Auxiliary enterprises--</t>
  </si>
  <si>
    <t xml:space="preserve">   Louisiana transportation research center </t>
  </si>
  <si>
    <t xml:space="preserve">  Academic programs abroad</t>
  </si>
  <si>
    <t xml:space="preserve">   Dairy science</t>
  </si>
  <si>
    <t xml:space="preserve">   Human ecology</t>
  </si>
  <si>
    <t xml:space="preserve">   Interdisciplinary</t>
  </si>
  <si>
    <t xml:space="preserve">   Poultry science</t>
  </si>
  <si>
    <t xml:space="preserve">   Aerospace studies</t>
  </si>
  <si>
    <t xml:space="preserve">   Communication sciences and disorders</t>
  </si>
  <si>
    <t xml:space="preserve">   English</t>
  </si>
  <si>
    <t xml:space="preserve">   Foreign languages and literatures</t>
  </si>
  <si>
    <t xml:space="preserve">   French studies</t>
  </si>
  <si>
    <t xml:space="preserve">   Geography and anthropology</t>
  </si>
  <si>
    <t xml:space="preserve">   History</t>
  </si>
  <si>
    <t xml:space="preserve">   Mathematics</t>
  </si>
  <si>
    <t xml:space="preserve">   Philosophy</t>
  </si>
  <si>
    <t xml:space="preserve">   Political science</t>
  </si>
  <si>
    <t xml:space="preserve">   Psychology </t>
  </si>
  <si>
    <t xml:space="preserve">   Biological sciences</t>
  </si>
  <si>
    <t xml:space="preserve">   Chemistry</t>
  </si>
  <si>
    <t xml:space="preserve">   Computer science </t>
  </si>
  <si>
    <t xml:space="preserve">   Geology and geophysics </t>
  </si>
  <si>
    <t xml:space="preserve">   Physics and astronomy</t>
  </si>
  <si>
    <t xml:space="preserve">   Accounting</t>
  </si>
  <si>
    <t xml:space="preserve">   Economics</t>
  </si>
  <si>
    <t xml:space="preserve">   Executive MBA program</t>
  </si>
  <si>
    <t xml:space="preserve">   Finance</t>
  </si>
  <si>
    <t xml:space="preserve">   Management </t>
  </si>
  <si>
    <t xml:space="preserve">   Marketing</t>
  </si>
  <si>
    <t xml:space="preserve">   Masters program</t>
  </si>
  <si>
    <t xml:space="preserve">   Dean's office</t>
  </si>
  <si>
    <t xml:space="preserve">   Fine arts</t>
  </si>
  <si>
    <t xml:space="preserve">   Landscape architecture </t>
  </si>
  <si>
    <t xml:space="preserve">   Kinesiology</t>
  </si>
  <si>
    <t xml:space="preserve">   Chemical </t>
  </si>
  <si>
    <t xml:space="preserve">   Civil and environmental</t>
  </si>
  <si>
    <t xml:space="preserve">   Electrical and computer</t>
  </si>
  <si>
    <t xml:space="preserve">   Mechanical </t>
  </si>
  <si>
    <t xml:space="preserve">   Petroleum</t>
  </si>
  <si>
    <t xml:space="preserve">  Graduate school</t>
  </si>
  <si>
    <t xml:space="preserve">  Honors college</t>
  </si>
  <si>
    <t xml:space="preserve">  Mass communication</t>
  </si>
  <si>
    <t xml:space="preserve">   Administration </t>
  </si>
  <si>
    <t xml:space="preserve">   Bands</t>
  </si>
  <si>
    <t xml:space="preserve">   Instruction</t>
  </si>
  <si>
    <t xml:space="preserve">  Social work </t>
  </si>
  <si>
    <t xml:space="preserve">  Student health center internships</t>
  </si>
  <si>
    <t xml:space="preserve">  Student technology fee projects </t>
  </si>
  <si>
    <t xml:space="preserve">  University college</t>
  </si>
  <si>
    <t xml:space="preserve">   Clinical sciences</t>
  </si>
  <si>
    <t xml:space="preserve">   Veterinary teaching hospital</t>
  </si>
  <si>
    <t xml:space="preserve">   Agronomy</t>
  </si>
  <si>
    <t xml:space="preserve">   Animal science</t>
  </si>
  <si>
    <t xml:space="preserve">   Entomology </t>
  </si>
  <si>
    <t xml:space="preserve">   Experimental statistics</t>
  </si>
  <si>
    <t xml:space="preserve">   Food science</t>
  </si>
  <si>
    <t xml:space="preserve">   Communication sciences and disorders </t>
  </si>
  <si>
    <t xml:space="preserve">   English  </t>
  </si>
  <si>
    <t xml:space="preserve">   Eric Voegelin institute</t>
  </si>
  <si>
    <t xml:space="preserve">   French studies </t>
  </si>
  <si>
    <t xml:space="preserve">   Geography and anthropology </t>
  </si>
  <si>
    <t xml:space="preserve">   Sociology</t>
  </si>
  <si>
    <t xml:space="preserve">   Biodynamics institute</t>
  </si>
  <si>
    <t xml:space="preserve">   Accounting </t>
  </si>
  <si>
    <t xml:space="preserve">  Center for energy studies </t>
  </si>
  <si>
    <t xml:space="preserve">   Architecture </t>
  </si>
  <si>
    <t xml:space="preserve">   Chemical</t>
  </si>
  <si>
    <t xml:space="preserve">   Hazardous substance research center</t>
  </si>
  <si>
    <t xml:space="preserve">   Industrial and manufacturing systems</t>
  </si>
  <si>
    <t xml:space="preserve">   Institute for ecology infrastructure </t>
  </si>
  <si>
    <t xml:space="preserve">   Mechanical</t>
  </si>
  <si>
    <t xml:space="preserve">   Water resources</t>
  </si>
  <si>
    <t xml:space="preserve">  Graduate school </t>
  </si>
  <si>
    <t xml:space="preserve">  Louisiana geological survey </t>
  </si>
  <si>
    <t xml:space="preserve">  Museum of natural science </t>
  </si>
  <si>
    <t xml:space="preserve">  Music and dramatic arts </t>
  </si>
  <si>
    <t xml:space="preserve">   Comparative biomedical sciences</t>
  </si>
  <si>
    <t xml:space="preserve">   Dean </t>
  </si>
  <si>
    <t xml:space="preserve">   Diagnostic laboratory</t>
  </si>
  <si>
    <t xml:space="preserve">   Pathobiological sciences </t>
  </si>
  <si>
    <t xml:space="preserve">  Academic affairs-interdisciplinary</t>
  </si>
  <si>
    <t xml:space="preserve">  Computing services</t>
  </si>
  <si>
    <t xml:space="preserve">  Middleton library </t>
  </si>
  <si>
    <t xml:space="preserve">   Comparative biomedical services</t>
  </si>
  <si>
    <t xml:space="preserve">   Veterinary teaching hospital </t>
  </si>
  <si>
    <t xml:space="preserve">   Middleton</t>
  </si>
  <si>
    <t xml:space="preserve">   Thesis binding </t>
  </si>
  <si>
    <t xml:space="preserve">  Measurement and evaluation center </t>
  </si>
  <si>
    <t xml:space="preserve">   Art</t>
  </si>
  <si>
    <t xml:space="preserve">   Natural science</t>
  </si>
  <si>
    <t xml:space="preserve">   Rural life </t>
  </si>
  <si>
    <t xml:space="preserve">  Office of technology transfer</t>
  </si>
  <si>
    <t xml:space="preserve">   Academic services</t>
  </si>
  <si>
    <t xml:space="preserve">   Agriculture</t>
  </si>
  <si>
    <t xml:space="preserve">   Arts and sciences</t>
  </si>
  <si>
    <t xml:space="preserve">   Basic sciences </t>
  </si>
  <si>
    <t xml:space="preserve">   Business administration</t>
  </si>
  <si>
    <t xml:space="preserve">   Education</t>
  </si>
  <si>
    <t xml:space="preserve">   Honors college </t>
  </si>
  <si>
    <t xml:space="preserve">   Mass communication</t>
  </si>
  <si>
    <t xml:space="preserve">   Music and dramatic arts</t>
  </si>
  <si>
    <t xml:space="preserve">   Radiation safety </t>
  </si>
  <si>
    <t xml:space="preserve">   University college </t>
  </si>
  <si>
    <t xml:space="preserve">   University press </t>
  </si>
  <si>
    <t xml:space="preserve">   Veterinary medicine</t>
  </si>
  <si>
    <t xml:space="preserve">  Admissions  </t>
  </si>
  <si>
    <t xml:space="preserve">  Enrollment services </t>
  </si>
  <si>
    <t xml:space="preserve">  Financial aid administration</t>
  </si>
  <si>
    <t xml:space="preserve">  Records and registration</t>
  </si>
  <si>
    <t xml:space="preserve">   Career planning and placement</t>
  </si>
  <si>
    <t xml:space="preserve">   African American cultural center</t>
  </si>
  <si>
    <t xml:space="preserve">   International cultural center</t>
  </si>
  <si>
    <t xml:space="preserve">   Student activities </t>
  </si>
  <si>
    <t xml:space="preserve">   Chancellor </t>
  </si>
  <si>
    <t xml:space="preserve">   Accounting services</t>
  </si>
  <si>
    <t xml:space="preserve">   Public relations</t>
  </si>
  <si>
    <t xml:space="preserve">   Engineering</t>
  </si>
  <si>
    <t xml:space="preserve">  Alterations and repairs </t>
  </si>
  <si>
    <t xml:space="preserve"> Scholarships and fellowships </t>
  </si>
  <si>
    <t xml:space="preserve">ANALYSIS C-2B                              ANALYSIS OF CURRENT RESTRICTED FUND EXPENDITURES                              ANALYSIS C-2B  </t>
  </si>
  <si>
    <t>Cost</t>
  </si>
  <si>
    <t>LOUISIANA STATE UNIVERSITY</t>
  </si>
  <si>
    <t xml:space="preserve">   Horticulture</t>
  </si>
  <si>
    <t xml:space="preserve">   Communication studies</t>
  </si>
  <si>
    <t xml:space="preserve">  Library science</t>
  </si>
  <si>
    <t xml:space="preserve">   Pathobiological sciences</t>
  </si>
  <si>
    <t xml:space="preserve">   Coastal ecology institute </t>
  </si>
  <si>
    <t xml:space="preserve">   Coastal studies institute </t>
  </si>
  <si>
    <t xml:space="preserve">      Total agriculture </t>
  </si>
  <si>
    <t xml:space="preserve">      Total arts and sciences</t>
  </si>
  <si>
    <t xml:space="preserve">      Total basic sciences</t>
  </si>
  <si>
    <t xml:space="preserve">      Total business administration </t>
  </si>
  <si>
    <t xml:space="preserve">      Total continuing education</t>
  </si>
  <si>
    <t xml:space="preserve">      Total education </t>
  </si>
  <si>
    <t xml:space="preserve">      Total engineering</t>
  </si>
  <si>
    <t xml:space="preserve">      Total music and dramatic arts</t>
  </si>
  <si>
    <t xml:space="preserve">      Total veterinary medicine </t>
  </si>
  <si>
    <t xml:space="preserve">        Total instruction</t>
  </si>
  <si>
    <t xml:space="preserve">      Total arts and sciences </t>
  </si>
  <si>
    <t xml:space="preserve">   Coastal fisheries institute </t>
  </si>
  <si>
    <t xml:space="preserve">   Environmental studies </t>
  </si>
  <si>
    <t xml:space="preserve">   Interdisciplinary </t>
  </si>
  <si>
    <t xml:space="preserve">   Oceanography and coastal sciences </t>
  </si>
  <si>
    <t xml:space="preserve">   Special programs</t>
  </si>
  <si>
    <t xml:space="preserve">   Wetland biogeochemistry institute </t>
  </si>
  <si>
    <t xml:space="preserve">      Total engineering </t>
  </si>
  <si>
    <t xml:space="preserve">        Total research </t>
  </si>
  <si>
    <t xml:space="preserve">      Total business administration</t>
  </si>
  <si>
    <t xml:space="preserve">      Total music and dramatic arts </t>
  </si>
  <si>
    <t xml:space="preserve">      Total veterinary medicine</t>
  </si>
  <si>
    <t xml:space="preserve">        Total public service</t>
  </si>
  <si>
    <t xml:space="preserve">      Total libraries </t>
  </si>
  <si>
    <t xml:space="preserve">      Total museums </t>
  </si>
  <si>
    <t xml:space="preserve">      Total academic administration </t>
  </si>
  <si>
    <t xml:space="preserve">        Total academic support </t>
  </si>
  <si>
    <t xml:space="preserve">        Total student services</t>
  </si>
  <si>
    <t xml:space="preserve">      Total executive management</t>
  </si>
  <si>
    <t xml:space="preserve">      Total fiscal operations</t>
  </si>
  <si>
    <t xml:space="preserve">        Total institutional support </t>
  </si>
  <si>
    <t xml:space="preserve">      Total research and economic development</t>
  </si>
  <si>
    <t xml:space="preserve">  Disability services</t>
  </si>
  <si>
    <t xml:space="preserve">   Institute for entrepreneurial education</t>
  </si>
  <si>
    <t xml:space="preserve">   Biological and agricultural engineering</t>
  </si>
  <si>
    <t xml:space="preserve">      Total social and cultural development</t>
  </si>
  <si>
    <t xml:space="preserve">      Total public relations and development</t>
  </si>
  <si>
    <t xml:space="preserve">   Renewable natural resources</t>
  </si>
  <si>
    <t xml:space="preserve">   Student technology fee projects</t>
  </si>
  <si>
    <t xml:space="preserve">   Public administration</t>
  </si>
  <si>
    <t xml:space="preserve">   Faculty research travel grant</t>
  </si>
  <si>
    <t xml:space="preserve">   Disability services and wellness education</t>
  </si>
  <si>
    <t xml:space="preserve">   Information systems and decision sciences (ISDS)</t>
  </si>
  <si>
    <t xml:space="preserve">  Centers for excellence in learning and teaching (CELT)</t>
  </si>
  <si>
    <t xml:space="preserve">  National center for security research and training (NCSRT)</t>
  </si>
  <si>
    <t xml:space="preserve">  Center for advanced microstructures and devices (CAMD)</t>
  </si>
  <si>
    <t xml:space="preserve">      Total NCSRT</t>
  </si>
  <si>
    <t xml:space="preserve">   English language orientation program (ELOP)</t>
  </si>
  <si>
    <t xml:space="preserve">  Center for computation and technology (CCT)</t>
  </si>
  <si>
    <t xml:space="preserve">   Fire and emergency training institute (FETI)</t>
  </si>
  <si>
    <t xml:space="preserve">   Anti-terrorism assistance program (ATAP)</t>
  </si>
  <si>
    <t xml:space="preserve">   National center for biomedical research and training (NCBRT)</t>
  </si>
  <si>
    <t xml:space="preserve">   Turbine innovation and energy research center</t>
  </si>
  <si>
    <t xml:space="preserve">  Center for excellence in learning and teaching (CELT)</t>
  </si>
  <si>
    <t xml:space="preserve">  Coast and environment-</t>
  </si>
  <si>
    <t xml:space="preserve">   Law enforcement online (LEO)</t>
  </si>
  <si>
    <t xml:space="preserve">  Student health center</t>
  </si>
  <si>
    <t xml:space="preserve">   Coast and environment</t>
  </si>
  <si>
    <t xml:space="preserve">   Library science</t>
  </si>
  <si>
    <t xml:space="preserve">   Laboratory school</t>
  </si>
  <si>
    <t xml:space="preserve"> Operation and maintenance of plant--</t>
  </si>
  <si>
    <t xml:space="preserve">    Principal and interest</t>
  </si>
  <si>
    <t>Educational and general:</t>
  </si>
  <si>
    <t xml:space="preserve">   Interior design</t>
  </si>
  <si>
    <t xml:space="preserve">  Art and design-</t>
  </si>
  <si>
    <t xml:space="preserve">      Total coast and environment</t>
  </si>
  <si>
    <t xml:space="preserve"> Public service--</t>
  </si>
  <si>
    <t xml:space="preserve">  Art and design- </t>
  </si>
  <si>
    <t xml:space="preserve">  Child care center</t>
  </si>
  <si>
    <t xml:space="preserve">  Civil war center</t>
  </si>
  <si>
    <t xml:space="preserve">  Louisiana geological survey</t>
  </si>
  <si>
    <t xml:space="preserve"> Academic support--</t>
  </si>
  <si>
    <t xml:space="preserve">  Laboratory school</t>
  </si>
  <si>
    <t xml:space="preserve"> Student services--</t>
  </si>
  <si>
    <t xml:space="preserve"> Institutional support--</t>
  </si>
  <si>
    <t xml:space="preserve">  National center for security research and training (NCSRT)-</t>
  </si>
  <si>
    <t xml:space="preserve">      Total general administrative services</t>
  </si>
  <si>
    <t xml:space="preserve">        Total operation and maintenance of plant</t>
  </si>
  <si>
    <t xml:space="preserve">        Total transfers </t>
  </si>
  <si>
    <t xml:space="preserve">   Louisiana transportation research center</t>
  </si>
  <si>
    <t xml:space="preserve">  Library and information science</t>
  </si>
  <si>
    <t xml:space="preserve">   Faculty support</t>
  </si>
  <si>
    <t xml:space="preserve">   Communications</t>
  </si>
  <si>
    <t xml:space="preserve">   Theatre</t>
  </si>
  <si>
    <t xml:space="preserve">  Telecommunications</t>
  </si>
  <si>
    <t xml:space="preserve">   Laboratory animal medicine</t>
  </si>
  <si>
    <t>.</t>
  </si>
  <si>
    <t xml:space="preserve">  Academic center for student athletes</t>
  </si>
  <si>
    <t xml:space="preserve">  Office of recruiting services</t>
  </si>
  <si>
    <t xml:space="preserve">   University recreation</t>
  </si>
  <si>
    <t xml:space="preserve">   Alumni relations and development</t>
  </si>
  <si>
    <t xml:space="preserve">      Total art and design</t>
  </si>
  <si>
    <t xml:space="preserve">      Total agriculture</t>
  </si>
  <si>
    <t xml:space="preserve">  Music and dramatic arts- </t>
  </si>
  <si>
    <t xml:space="preserve">        Total auxiliary enterprises </t>
  </si>
  <si>
    <t xml:space="preserve">          Total expenditures and transfers </t>
  </si>
  <si>
    <t xml:space="preserve"> Transfers--</t>
  </si>
  <si>
    <t xml:space="preserve">   Mandatory transfers for-</t>
  </si>
  <si>
    <t xml:space="preserve">   Nonmandatory transfers for-</t>
  </si>
  <si>
    <t xml:space="preserve">      Total nonmandatory transfers</t>
  </si>
  <si>
    <t xml:space="preserve">   Expenditures</t>
  </si>
  <si>
    <t xml:space="preserve">   Nonmandatory transfers for -</t>
  </si>
  <si>
    <t xml:space="preserve">     Capital improvements</t>
  </si>
  <si>
    <t xml:space="preserve">     Principal and interest </t>
  </si>
  <si>
    <t xml:space="preserve">   Oceanography and coastal sciences</t>
  </si>
  <si>
    <t xml:space="preserve">   Management</t>
  </si>
  <si>
    <t xml:space="preserve">  Hurricane relief</t>
  </si>
  <si>
    <t xml:space="preserve">   Computer science</t>
  </si>
  <si>
    <t xml:space="preserve">   Social work</t>
  </si>
  <si>
    <t xml:space="preserve">     Depreciation expense</t>
  </si>
  <si>
    <t xml:space="preserve">   Mandatory transfers for principal and interest</t>
  </si>
  <si>
    <t xml:space="preserve">   Agricultural economics and agribusiness</t>
  </si>
  <si>
    <t xml:space="preserve">   Human resource education and workforce development</t>
  </si>
  <si>
    <t xml:space="preserve">  Gordon A. Cain center</t>
  </si>
  <si>
    <t xml:space="preserve">   Agricultural economics and agribusiness </t>
  </si>
  <si>
    <t xml:space="preserve">   Community design and development</t>
  </si>
  <si>
    <t xml:space="preserve">   Biotechnology and molecular medicine</t>
  </si>
  <si>
    <t xml:space="preserve">   Vice Chancellor for student services </t>
  </si>
  <si>
    <t xml:space="preserve">   Executive Vice Chancellor and Provost</t>
  </si>
  <si>
    <t xml:space="preserve">   Vice Provost for academic affairs</t>
  </si>
  <si>
    <t xml:space="preserve">   Vice Chancellor for corporate initiatives and public service</t>
  </si>
  <si>
    <t xml:space="preserve">   Vice Chancellor for finance and administrative services </t>
  </si>
  <si>
    <t xml:space="preserve">   Vice Chancellor for research and graduate studies</t>
  </si>
  <si>
    <t xml:space="preserve">    Capital improvements</t>
  </si>
  <si>
    <t xml:space="preserve">   Laboratory school library</t>
  </si>
  <si>
    <t xml:space="preserve">   Louisiana business and technology center (LBTC)</t>
  </si>
  <si>
    <t xml:space="preserve">   Non-credit programs</t>
  </si>
  <si>
    <t xml:space="preserve">   Music</t>
  </si>
  <si>
    <t xml:space="preserve">  Louisiana sea grant college program</t>
  </si>
  <si>
    <t xml:space="preserve">   Entomology</t>
  </si>
  <si>
    <t xml:space="preserve">   Architecture</t>
  </si>
  <si>
    <t xml:space="preserve">   Wetlands biogechemistry institute</t>
  </si>
  <si>
    <t xml:space="preserve">  Southern review</t>
  </si>
  <si>
    <t xml:space="preserve">  Women's Center</t>
  </si>
  <si>
    <t xml:space="preserve">  Orientation</t>
  </si>
  <si>
    <t xml:space="preserve">   Club sports</t>
  </si>
  <si>
    <t xml:space="preserve">   International programs</t>
  </si>
  <si>
    <t xml:space="preserve">   Miscellaneous</t>
  </si>
  <si>
    <t xml:space="preserve">   Information technology services</t>
  </si>
  <si>
    <t xml:space="preserve">   Purchasing</t>
  </si>
  <si>
    <t xml:space="preserve">  Social work</t>
  </si>
  <si>
    <t>FOR THE YEAR ENDED JUNE 30, 2007</t>
  </si>
  <si>
    <t xml:space="preserve">   Environmental initiatives</t>
  </si>
  <si>
    <t xml:space="preserve">  Logistical services</t>
  </si>
  <si>
    <t xml:space="preserve">  Strategic Initiatives</t>
  </si>
  <si>
    <t xml:space="preserve">   Educational theory, policy and practice (ETPP)</t>
  </si>
  <si>
    <t xml:space="preserve">  Information technology services</t>
  </si>
  <si>
    <t xml:space="preserve">          Subtotal expenditures and transfers</t>
  </si>
  <si>
    <t xml:space="preserve">        Total educational and general expenditures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</si>
</sst>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23">
    <font>
      <sz val="8"/>
      <name val="Courier"/>
      <family val="0"/>
    </font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Courier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1" applyNumberFormat="0" applyAlignment="0" applyProtection="0"/>
    <xf numFmtId="0" fontId="10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5" borderId="7" applyNumberFormat="0" applyFont="0" applyAlignment="0" applyProtection="0"/>
    <xf numFmtId="0" fontId="19" fillId="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165" fontId="3" fillId="0" borderId="0" xfId="42" applyNumberFormat="1" applyFont="1" applyAlignment="1" applyProtection="1">
      <alignment vertical="center"/>
      <protection/>
    </xf>
    <xf numFmtId="165" fontId="4" fillId="6" borderId="10" xfId="42" applyNumberFormat="1" applyFont="1" applyFill="1" applyBorder="1" applyAlignment="1" applyProtection="1">
      <alignment vertical="center"/>
      <protection/>
    </xf>
    <xf numFmtId="165" fontId="4" fillId="6" borderId="11" xfId="42" applyNumberFormat="1" applyFont="1" applyFill="1" applyBorder="1" applyAlignment="1" applyProtection="1">
      <alignment vertical="center"/>
      <protection/>
    </xf>
    <xf numFmtId="165" fontId="4" fillId="6" borderId="12" xfId="42" applyNumberFormat="1" applyFont="1" applyFill="1" applyBorder="1" applyAlignment="1" applyProtection="1">
      <alignment vertical="center"/>
      <protection/>
    </xf>
    <xf numFmtId="165" fontId="5" fillId="6" borderId="0" xfId="42" applyNumberFormat="1" applyFont="1" applyFill="1" applyAlignment="1" applyProtection="1">
      <alignment vertical="center"/>
      <protection/>
    </xf>
    <xf numFmtId="165" fontId="4" fillId="6" borderId="13" xfId="42" applyNumberFormat="1" applyFont="1" applyFill="1" applyBorder="1" applyAlignment="1" applyProtection="1">
      <alignment vertical="center"/>
      <protection/>
    </xf>
    <xf numFmtId="165" fontId="4" fillId="6" borderId="0" xfId="42" applyNumberFormat="1" applyFont="1" applyFill="1" applyBorder="1" applyAlignment="1" applyProtection="1">
      <alignment vertical="center"/>
      <protection/>
    </xf>
    <xf numFmtId="165" fontId="4" fillId="6" borderId="14" xfId="42" applyNumberFormat="1" applyFont="1" applyFill="1" applyBorder="1" applyAlignment="1" applyProtection="1">
      <alignment vertical="center"/>
      <protection/>
    </xf>
    <xf numFmtId="165" fontId="4" fillId="6" borderId="15" xfId="42" applyNumberFormat="1" applyFont="1" applyFill="1" applyBorder="1" applyAlignment="1" applyProtection="1">
      <alignment vertical="center"/>
      <protection/>
    </xf>
    <xf numFmtId="165" fontId="4" fillId="6" borderId="16" xfId="42" applyNumberFormat="1" applyFont="1" applyFill="1" applyBorder="1" applyAlignment="1" applyProtection="1">
      <alignment vertical="center"/>
      <protection/>
    </xf>
    <xf numFmtId="165" fontId="4" fillId="6" borderId="17" xfId="42" applyNumberFormat="1" applyFont="1" applyFill="1" applyBorder="1" applyAlignment="1" applyProtection="1">
      <alignment vertical="center"/>
      <protection/>
    </xf>
    <xf numFmtId="165" fontId="3" fillId="0" borderId="18" xfId="42" applyNumberFormat="1" applyFont="1" applyBorder="1" applyAlignment="1" applyProtection="1">
      <alignment horizontal="centerContinuous" vertical="center"/>
      <protection/>
    </xf>
    <xf numFmtId="165" fontId="3" fillId="0" borderId="0" xfId="42" applyNumberFormat="1" applyFont="1" applyAlignment="1" applyProtection="1">
      <alignment horizontal="center" vertical="center"/>
      <protection/>
    </xf>
    <xf numFmtId="165" fontId="3" fillId="0" borderId="18" xfId="42" applyNumberFormat="1" applyFont="1" applyBorder="1" applyAlignment="1" applyProtection="1">
      <alignment horizontal="center" vertical="center"/>
      <protection/>
    </xf>
    <xf numFmtId="165" fontId="3" fillId="0" borderId="0" xfId="42" applyNumberFormat="1" applyFont="1" applyBorder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165" fontId="3" fillId="0" borderId="18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Alignment="1" applyProtection="1" quotePrefix="1">
      <alignment vertical="center"/>
      <protection/>
    </xf>
    <xf numFmtId="165" fontId="3" fillId="0" borderId="19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 quotePrefix="1">
      <alignment vertical="center"/>
      <protection/>
    </xf>
    <xf numFmtId="167" fontId="3" fillId="0" borderId="18" xfId="44" applyNumberFormat="1" applyFont="1" applyFill="1" applyBorder="1" applyAlignment="1" applyProtection="1">
      <alignment vertical="center"/>
      <protection/>
    </xf>
    <xf numFmtId="165" fontId="3" fillId="0" borderId="2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right" vertical="center"/>
      <protection/>
    </xf>
    <xf numFmtId="167" fontId="3" fillId="0" borderId="21" xfId="44" applyNumberFormat="1" applyFont="1" applyFill="1" applyBorder="1" applyAlignment="1" applyProtection="1">
      <alignment vertical="center"/>
      <protection/>
    </xf>
    <xf numFmtId="165" fontId="3" fillId="0" borderId="22" xfId="42" applyNumberFormat="1" applyFont="1" applyFill="1" applyBorder="1" applyAlignment="1" applyProtection="1">
      <alignment vertical="center"/>
      <protection/>
    </xf>
    <xf numFmtId="42" fontId="3" fillId="0" borderId="18" xfId="42" applyNumberFormat="1" applyFont="1" applyFill="1" applyBorder="1" applyAlignment="1" applyProtection="1">
      <alignment vertical="center"/>
      <protection/>
    </xf>
    <xf numFmtId="42" fontId="3" fillId="0" borderId="21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 applyProtection="1">
      <alignment vertical="center"/>
      <protection/>
    </xf>
    <xf numFmtId="49" fontId="5" fillId="6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>
      <alignment vertical="center"/>
    </xf>
    <xf numFmtId="165" fontId="3" fillId="0" borderId="23" xfId="42" applyNumberFormat="1" applyFont="1" applyFill="1" applyBorder="1" applyAlignment="1" applyProtection="1">
      <alignment vertical="center"/>
      <protection/>
    </xf>
    <xf numFmtId="165" fontId="3" fillId="0" borderId="24" xfId="42" applyNumberFormat="1" applyFont="1" applyFill="1" applyBorder="1" applyAlignment="1" applyProtection="1">
      <alignment vertical="center"/>
      <protection/>
    </xf>
    <xf numFmtId="165" fontId="3" fillId="0" borderId="18" xfId="42" applyNumberFormat="1" applyFont="1" applyFill="1" applyBorder="1" applyAlignment="1" applyProtection="1">
      <alignment vertical="center"/>
      <protection/>
    </xf>
    <xf numFmtId="165" fontId="4" fillId="6" borderId="13" xfId="42" applyNumberFormat="1" applyFont="1" applyFill="1" applyBorder="1" applyAlignment="1" applyProtection="1">
      <alignment horizontal="center" vertical="center"/>
      <protection/>
    </xf>
    <xf numFmtId="165" fontId="4" fillId="6" borderId="0" xfId="42" applyNumberFormat="1" applyFont="1" applyFill="1" applyBorder="1" applyAlignment="1" applyProtection="1">
      <alignment horizontal="center" vertical="center"/>
      <protection/>
    </xf>
    <xf numFmtId="165" fontId="4" fillId="6" borderId="14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553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53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1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14.57421875" style="1" customWidth="1"/>
    <col min="18" max="18" width="7.57421875" style="30" customWidth="1"/>
    <col min="19" max="16384" width="7.57421875" style="1" customWidth="1"/>
  </cols>
  <sheetData>
    <row r="1" ht="12.75" thickBot="1"/>
    <row r="2" spans="1:18" s="5" customFormat="1" ht="10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1"/>
    </row>
    <row r="3" spans="1:18" s="5" customFormat="1" ht="12">
      <c r="A3" s="38" t="s">
        <v>157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31"/>
    </row>
    <row r="4" spans="1:18" s="5" customFormat="1" ht="8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31"/>
    </row>
    <row r="5" spans="1:18" s="5" customFormat="1" ht="12">
      <c r="A5" s="38" t="s">
        <v>155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31"/>
    </row>
    <row r="6" spans="1:18" s="5" customFormat="1" ht="12">
      <c r="A6" s="38" t="s">
        <v>305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R6" s="31"/>
    </row>
    <row r="7" spans="1:18" s="5" customFormat="1" ht="10.5" customHeight="1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31"/>
    </row>
    <row r="8" ht="12"/>
    <row r="9" ht="12"/>
    <row r="10" spans="3:17" ht="12" customHeight="1">
      <c r="C10" s="12" t="s">
        <v>0</v>
      </c>
      <c r="D10" s="12"/>
      <c r="E10" s="12"/>
      <c r="F10" s="12"/>
      <c r="G10" s="12"/>
      <c r="H10" s="12"/>
      <c r="I10" s="12"/>
      <c r="M10" s="12" t="s">
        <v>1</v>
      </c>
      <c r="N10" s="12"/>
      <c r="O10" s="12"/>
      <c r="P10" s="12"/>
      <c r="Q10" s="12"/>
    </row>
    <row r="11" ht="12" customHeight="1">
      <c r="Q11" s="13" t="s">
        <v>2</v>
      </c>
    </row>
    <row r="12" spans="13:17" ht="12" customHeight="1">
      <c r="M12" s="13" t="s">
        <v>3</v>
      </c>
      <c r="Q12" s="13" t="s">
        <v>156</v>
      </c>
    </row>
    <row r="13" spans="3:17" ht="12" customHeight="1">
      <c r="C13" s="14" t="s">
        <v>4</v>
      </c>
      <c r="D13" s="15"/>
      <c r="E13" s="14" t="s">
        <v>5</v>
      </c>
      <c r="F13" s="15"/>
      <c r="G13" s="14" t="s">
        <v>6</v>
      </c>
      <c r="H13" s="15"/>
      <c r="I13" s="14" t="s">
        <v>7</v>
      </c>
      <c r="J13" s="15"/>
      <c r="K13" s="14" t="s">
        <v>8</v>
      </c>
      <c r="L13" s="15"/>
      <c r="M13" s="14" t="s">
        <v>9</v>
      </c>
      <c r="N13" s="15"/>
      <c r="O13" s="14" t="s">
        <v>10</v>
      </c>
      <c r="P13" s="15"/>
      <c r="Q13" s="14" t="s">
        <v>11</v>
      </c>
    </row>
    <row r="14" ht="12" customHeight="1"/>
    <row r="15" spans="1:18" s="18" customFormat="1" ht="13.5" customHeight="1">
      <c r="A15" s="18" t="s">
        <v>226</v>
      </c>
      <c r="R15" s="32"/>
    </row>
    <row r="16" s="18" customFormat="1" ht="13.5" customHeight="1">
      <c r="R16" s="32"/>
    </row>
    <row r="17" spans="1:18" s="18" customFormat="1" ht="13.5" customHeight="1">
      <c r="A17" s="18" t="s">
        <v>12</v>
      </c>
      <c r="R17" s="32"/>
    </row>
    <row r="18" spans="1:18" s="18" customFormat="1" ht="13.5" customHeight="1">
      <c r="A18" s="18" t="s">
        <v>38</v>
      </c>
      <c r="B18" s="19" t="s">
        <v>15</v>
      </c>
      <c r="C18" s="23">
        <v>0</v>
      </c>
      <c r="E18" s="23">
        <v>1028</v>
      </c>
      <c r="G18" s="23">
        <v>0</v>
      </c>
      <c r="I18" s="23">
        <v>0</v>
      </c>
      <c r="K18" s="28">
        <f>IF(SUM(C18:I18)=SUM(M18:Q18),SUM(C18:I18),SUM(M18:Q18)-SUM(C18:I18))</f>
        <v>1028</v>
      </c>
      <c r="M18" s="23">
        <v>964</v>
      </c>
      <c r="O18" s="23">
        <v>0</v>
      </c>
      <c r="Q18" s="23">
        <v>64</v>
      </c>
      <c r="R18" s="32"/>
    </row>
    <row r="19" spans="2:18" s="18" customFormat="1" ht="13.5" customHeight="1">
      <c r="B19" s="19" t="s">
        <v>15</v>
      </c>
      <c r="K19" s="24"/>
      <c r="R19" s="32"/>
    </row>
    <row r="20" spans="1:18" s="18" customFormat="1" ht="13.5" customHeight="1">
      <c r="A20" s="18" t="s">
        <v>13</v>
      </c>
      <c r="B20" s="19" t="s">
        <v>15</v>
      </c>
      <c r="R20" s="32"/>
    </row>
    <row r="21" spans="1:18" s="18" customFormat="1" ht="13.5" customHeight="1">
      <c r="A21" s="18" t="s">
        <v>275</v>
      </c>
      <c r="B21" s="19"/>
      <c r="C21" s="18">
        <v>0</v>
      </c>
      <c r="E21" s="18">
        <v>0</v>
      </c>
      <c r="G21" s="18">
        <v>6200</v>
      </c>
      <c r="I21" s="18">
        <v>0</v>
      </c>
      <c r="K21" s="18">
        <f>IF(SUM(C21:I21)=SUM(M21:Q21),SUM(C21:I21),SUM(M21:Q21)-SUM(C21:I21))</f>
        <v>6200</v>
      </c>
      <c r="M21" s="18">
        <v>6200</v>
      </c>
      <c r="O21" s="18">
        <v>0</v>
      </c>
      <c r="Q21" s="18">
        <v>0</v>
      </c>
      <c r="R21" s="32"/>
    </row>
    <row r="22" spans="1:18" s="18" customFormat="1" ht="13.5" customHeight="1">
      <c r="A22" s="18" t="s">
        <v>39</v>
      </c>
      <c r="B22" s="19" t="s">
        <v>15</v>
      </c>
      <c r="C22" s="18">
        <v>0</v>
      </c>
      <c r="E22" s="18">
        <v>0</v>
      </c>
      <c r="G22" s="18">
        <v>10150</v>
      </c>
      <c r="I22" s="18">
        <v>0</v>
      </c>
      <c r="K22" s="18">
        <f>IF(SUM(C22:I22)=SUM(M22:Q22),SUM(C22:I22),SUM(M22:Q22)-SUM(C22:I22))</f>
        <v>10150</v>
      </c>
      <c r="M22" s="18">
        <v>3750</v>
      </c>
      <c r="O22" s="18">
        <v>6400</v>
      </c>
      <c r="Q22" s="18">
        <v>0</v>
      </c>
      <c r="R22" s="32"/>
    </row>
    <row r="23" spans="1:18" s="18" customFormat="1" ht="13.5" customHeight="1">
      <c r="A23" s="18" t="s">
        <v>40</v>
      </c>
      <c r="B23" s="19"/>
      <c r="C23" s="18">
        <v>0</v>
      </c>
      <c r="E23" s="18">
        <v>0</v>
      </c>
      <c r="G23" s="18">
        <v>22865</v>
      </c>
      <c r="I23" s="18">
        <v>3312</v>
      </c>
      <c r="K23" s="18">
        <f>IF(SUM(C23:I23)=SUM(M23:Q23),SUM(C23:I23),SUM(M23:Q23)-SUM(C23:I23))</f>
        <v>26177</v>
      </c>
      <c r="M23" s="18">
        <v>20160</v>
      </c>
      <c r="O23" s="18">
        <f>6016+1</f>
        <v>6017</v>
      </c>
      <c r="Q23" s="18">
        <v>0</v>
      </c>
      <c r="R23" s="32"/>
    </row>
    <row r="24" spans="1:18" s="18" customFormat="1" ht="13.5" customHeight="1">
      <c r="A24" s="18" t="s">
        <v>276</v>
      </c>
      <c r="B24" s="19"/>
      <c r="C24" s="18">
        <v>897308</v>
      </c>
      <c r="E24" s="18">
        <v>0</v>
      </c>
      <c r="G24" s="18">
        <v>-22</v>
      </c>
      <c r="I24" s="18">
        <v>0</v>
      </c>
      <c r="K24" s="18">
        <f aca="true" t="shared" si="0" ref="K24:K86">IF(SUM(C24:I24)=SUM(M24:Q24),SUM(C24:I24),SUM(M24:Q24)-SUM(C24:I24))</f>
        <v>897286</v>
      </c>
      <c r="M24" s="18">
        <v>739634</v>
      </c>
      <c r="O24" s="18">
        <v>130082</v>
      </c>
      <c r="Q24" s="18">
        <v>27570</v>
      </c>
      <c r="R24" s="32"/>
    </row>
    <row r="25" spans="1:18" s="18" customFormat="1" ht="13.5" customHeight="1">
      <c r="A25" s="18" t="s">
        <v>158</v>
      </c>
      <c r="B25" s="19"/>
      <c r="C25" s="18">
        <v>0</v>
      </c>
      <c r="E25" s="18">
        <v>0</v>
      </c>
      <c r="G25" s="18">
        <v>2400</v>
      </c>
      <c r="I25" s="18">
        <v>0</v>
      </c>
      <c r="K25" s="18">
        <f t="shared" si="0"/>
        <v>2400</v>
      </c>
      <c r="M25" s="18">
        <v>2400</v>
      </c>
      <c r="O25" s="18">
        <v>0</v>
      </c>
      <c r="Q25" s="18">
        <v>0</v>
      </c>
      <c r="R25" s="32"/>
    </row>
    <row r="26" spans="1:18" s="18" customFormat="1" ht="13.5" customHeight="1">
      <c r="A26" s="18" t="s">
        <v>41</v>
      </c>
      <c r="B26" s="19" t="s">
        <v>15</v>
      </c>
      <c r="C26" s="18">
        <v>0</v>
      </c>
      <c r="E26" s="18">
        <v>50695</v>
      </c>
      <c r="G26" s="18">
        <v>93000</v>
      </c>
      <c r="I26" s="18">
        <v>16200</v>
      </c>
      <c r="K26" s="18">
        <f t="shared" si="0"/>
        <v>159895</v>
      </c>
      <c r="M26" s="18">
        <v>144727</v>
      </c>
      <c r="O26" s="18">
        <v>12000</v>
      </c>
      <c r="Q26" s="18">
        <v>3168</v>
      </c>
      <c r="R26" s="32"/>
    </row>
    <row r="27" spans="1:18" s="18" customFormat="1" ht="13.5" customHeight="1">
      <c r="A27" s="18" t="s">
        <v>42</v>
      </c>
      <c r="B27" s="19" t="s">
        <v>15</v>
      </c>
      <c r="C27" s="18">
        <v>0</v>
      </c>
      <c r="E27" s="18">
        <v>0</v>
      </c>
      <c r="G27" s="18">
        <v>6081</v>
      </c>
      <c r="I27" s="18">
        <v>0</v>
      </c>
      <c r="K27" s="18">
        <f t="shared" si="0"/>
        <v>6081</v>
      </c>
      <c r="M27" s="18">
        <v>2279</v>
      </c>
      <c r="O27" s="18">
        <v>3802</v>
      </c>
      <c r="Q27" s="18">
        <v>0</v>
      </c>
      <c r="R27" s="32"/>
    </row>
    <row r="28" spans="1:18" s="18" customFormat="1" ht="13.5" customHeight="1">
      <c r="A28" s="18" t="s">
        <v>201</v>
      </c>
      <c r="B28" s="19"/>
      <c r="C28" s="17">
        <v>0</v>
      </c>
      <c r="E28" s="17">
        <v>0</v>
      </c>
      <c r="G28" s="17">
        <v>1000</v>
      </c>
      <c r="I28" s="17">
        <v>8624</v>
      </c>
      <c r="K28" s="17">
        <f t="shared" si="0"/>
        <v>9624</v>
      </c>
      <c r="M28" s="17">
        <v>3000</v>
      </c>
      <c r="O28" s="17">
        <v>6624</v>
      </c>
      <c r="Q28" s="17">
        <v>0</v>
      </c>
      <c r="R28" s="32"/>
    </row>
    <row r="29" spans="1:18" s="18" customFormat="1" ht="13.5" customHeight="1">
      <c r="A29" s="18" t="s">
        <v>164</v>
      </c>
      <c r="B29" s="19" t="s">
        <v>15</v>
      </c>
      <c r="C29" s="17">
        <f>SUM(C21:C28)</f>
        <v>897308</v>
      </c>
      <c r="E29" s="17">
        <f>SUM(E21:E28)</f>
        <v>50695</v>
      </c>
      <c r="G29" s="17">
        <f>SUM(G21:G28)</f>
        <v>141674</v>
      </c>
      <c r="I29" s="17">
        <f>SUM(I21:I28)</f>
        <v>28136</v>
      </c>
      <c r="K29" s="20">
        <f t="shared" si="0"/>
        <v>1117813</v>
      </c>
      <c r="M29" s="17">
        <f>SUM(M21:M28)</f>
        <v>922150</v>
      </c>
      <c r="O29" s="17">
        <f>SUM(O21:O28)</f>
        <v>164925</v>
      </c>
      <c r="Q29" s="17">
        <f>SUM(Q21:Q28)</f>
        <v>30738</v>
      </c>
      <c r="R29" s="32"/>
    </row>
    <row r="30" spans="2:18" s="18" customFormat="1" ht="13.5" customHeight="1">
      <c r="B30" s="19"/>
      <c r="C30" s="21"/>
      <c r="E30" s="21"/>
      <c r="G30" s="21"/>
      <c r="I30" s="21"/>
      <c r="M30" s="21"/>
      <c r="O30" s="21"/>
      <c r="Q30" s="21"/>
      <c r="R30" s="32"/>
    </row>
    <row r="31" spans="1:18" s="18" customFormat="1" ht="13.5" customHeight="1">
      <c r="A31" s="18" t="s">
        <v>228</v>
      </c>
      <c r="B31" s="19" t="s">
        <v>15</v>
      </c>
      <c r="C31" s="18" t="s">
        <v>15</v>
      </c>
      <c r="E31" s="18" t="s">
        <v>15</v>
      </c>
      <c r="G31" s="18" t="s">
        <v>15</v>
      </c>
      <c r="I31" s="18" t="s">
        <v>15</v>
      </c>
      <c r="M31" s="18" t="s">
        <v>15</v>
      </c>
      <c r="O31" s="18" t="s">
        <v>15</v>
      </c>
      <c r="Q31" s="18" t="s">
        <v>15</v>
      </c>
      <c r="R31" s="32"/>
    </row>
    <row r="32" spans="1:18" s="18" customFormat="1" ht="13.5" customHeight="1">
      <c r="A32" s="18" t="s">
        <v>101</v>
      </c>
      <c r="B32" s="19"/>
      <c r="C32" s="18">
        <v>0</v>
      </c>
      <c r="E32" s="18">
        <v>0</v>
      </c>
      <c r="G32" s="18">
        <v>25864</v>
      </c>
      <c r="I32" s="18">
        <v>41210</v>
      </c>
      <c r="K32" s="18">
        <f t="shared" si="0"/>
        <v>67074</v>
      </c>
      <c r="M32" s="18">
        <v>0</v>
      </c>
      <c r="O32" s="18">
        <v>67074</v>
      </c>
      <c r="Q32" s="18">
        <v>0</v>
      </c>
      <c r="R32" s="32"/>
    </row>
    <row r="33" spans="1:18" s="18" customFormat="1" ht="13.5" customHeight="1">
      <c r="A33" s="18" t="s">
        <v>66</v>
      </c>
      <c r="B33" s="19" t="s">
        <v>15</v>
      </c>
      <c r="C33" s="18">
        <v>0</v>
      </c>
      <c r="E33" s="18">
        <v>0</v>
      </c>
      <c r="G33" s="18">
        <v>21253</v>
      </c>
      <c r="I33" s="18">
        <v>12000</v>
      </c>
      <c r="K33" s="18">
        <f t="shared" si="0"/>
        <v>33253</v>
      </c>
      <c r="M33" s="18">
        <v>0</v>
      </c>
      <c r="O33" s="18">
        <v>33253</v>
      </c>
      <c r="Q33" s="18">
        <v>0</v>
      </c>
      <c r="R33" s="32"/>
    </row>
    <row r="34" spans="1:18" s="18" customFormat="1" ht="13.5" customHeight="1">
      <c r="A34" s="18" t="s">
        <v>67</v>
      </c>
      <c r="B34" s="19" t="s">
        <v>15</v>
      </c>
      <c r="C34" s="18">
        <v>9379</v>
      </c>
      <c r="E34" s="18">
        <v>0</v>
      </c>
      <c r="G34" s="18">
        <v>34976</v>
      </c>
      <c r="I34" s="18">
        <v>0</v>
      </c>
      <c r="K34" s="18">
        <f t="shared" si="0"/>
        <v>44355</v>
      </c>
      <c r="M34" s="18">
        <v>15481</v>
      </c>
      <c r="O34" s="18">
        <v>28874</v>
      </c>
      <c r="Q34" s="18">
        <v>0</v>
      </c>
      <c r="R34" s="32"/>
    </row>
    <row r="35" spans="1:18" s="18" customFormat="1" ht="13.5" customHeight="1">
      <c r="A35" s="18" t="s">
        <v>41</v>
      </c>
      <c r="B35" s="19" t="s">
        <v>15</v>
      </c>
      <c r="C35" s="18">
        <v>0</v>
      </c>
      <c r="E35" s="18">
        <v>24395</v>
      </c>
      <c r="G35" s="18">
        <v>0</v>
      </c>
      <c r="I35" s="18">
        <v>0</v>
      </c>
      <c r="K35" s="18">
        <f t="shared" si="0"/>
        <v>24395</v>
      </c>
      <c r="M35" s="18">
        <v>22870</v>
      </c>
      <c r="O35" s="18">
        <v>0</v>
      </c>
      <c r="Q35" s="18">
        <v>1525</v>
      </c>
      <c r="R35" s="32"/>
    </row>
    <row r="36" spans="1:18" s="18" customFormat="1" ht="13.5" customHeight="1">
      <c r="A36" s="18" t="s">
        <v>68</v>
      </c>
      <c r="B36" s="19" t="s">
        <v>15</v>
      </c>
      <c r="C36" s="17">
        <v>0</v>
      </c>
      <c r="E36" s="17">
        <v>0</v>
      </c>
      <c r="G36" s="17">
        <v>9301</v>
      </c>
      <c r="I36" s="17">
        <v>46559</v>
      </c>
      <c r="K36" s="17">
        <f t="shared" si="0"/>
        <v>55860</v>
      </c>
      <c r="M36" s="18">
        <v>1873</v>
      </c>
      <c r="O36" s="17">
        <f>53988-1</f>
        <v>53987</v>
      </c>
      <c r="Q36" s="17">
        <v>0</v>
      </c>
      <c r="R36" s="32"/>
    </row>
    <row r="37" spans="1:18" s="18" customFormat="1" ht="13.5" customHeight="1">
      <c r="A37" s="18" t="s">
        <v>255</v>
      </c>
      <c r="B37" s="19" t="s">
        <v>15</v>
      </c>
      <c r="C37" s="17">
        <f>SUM(C32:C36)</f>
        <v>9379</v>
      </c>
      <c r="E37" s="17">
        <f>SUM(E32:E36)</f>
        <v>24395</v>
      </c>
      <c r="G37" s="17">
        <f>SUM(G32:G36)</f>
        <v>91394</v>
      </c>
      <c r="I37" s="17">
        <f>SUM(I32:I36)</f>
        <v>99769</v>
      </c>
      <c r="K37" s="20">
        <f t="shared" si="0"/>
        <v>224937</v>
      </c>
      <c r="M37" s="20">
        <f>SUM(M32:M36)</f>
        <v>40224</v>
      </c>
      <c r="O37" s="17">
        <f>SUM(O32:O36)</f>
        <v>183188</v>
      </c>
      <c r="Q37" s="17">
        <f>SUM(Q32:Q36)</f>
        <v>1525</v>
      </c>
      <c r="R37" s="32"/>
    </row>
    <row r="38" spans="2:18" s="18" customFormat="1" ht="13.5" customHeight="1">
      <c r="B38" s="19" t="s">
        <v>15</v>
      </c>
      <c r="R38" s="32"/>
    </row>
    <row r="39" spans="1:18" s="18" customFormat="1" ht="13.5" customHeight="1">
      <c r="A39" s="18" t="s">
        <v>14</v>
      </c>
      <c r="B39" s="19" t="s">
        <v>15</v>
      </c>
      <c r="C39" s="18" t="s">
        <v>15</v>
      </c>
      <c r="E39" s="18" t="s">
        <v>15</v>
      </c>
      <c r="G39" s="18" t="s">
        <v>15</v>
      </c>
      <c r="I39" s="18" t="s">
        <v>15</v>
      </c>
      <c r="M39" s="18" t="s">
        <v>16</v>
      </c>
      <c r="O39" s="18" t="s">
        <v>15</v>
      </c>
      <c r="Q39" s="18" t="s">
        <v>15</v>
      </c>
      <c r="R39" s="32"/>
    </row>
    <row r="40" spans="1:18" s="18" customFormat="1" ht="13.5" customHeight="1">
      <c r="A40" s="18" t="s">
        <v>43</v>
      </c>
      <c r="B40" s="19" t="s">
        <v>15</v>
      </c>
      <c r="C40" s="18">
        <v>0</v>
      </c>
      <c r="E40" s="18">
        <v>8737</v>
      </c>
      <c r="G40" s="18">
        <v>0</v>
      </c>
      <c r="I40" s="18">
        <v>1072</v>
      </c>
      <c r="K40" s="18">
        <f t="shared" si="0"/>
        <v>9809</v>
      </c>
      <c r="M40" s="18">
        <v>0</v>
      </c>
      <c r="O40" s="18">
        <v>9809</v>
      </c>
      <c r="Q40" s="18">
        <v>0</v>
      </c>
      <c r="R40" s="32"/>
    </row>
    <row r="41" spans="1:18" s="18" customFormat="1" ht="13.5" customHeight="1">
      <c r="A41" s="18" t="s">
        <v>44</v>
      </c>
      <c r="B41" s="19" t="s">
        <v>15</v>
      </c>
      <c r="C41" s="18">
        <v>0</v>
      </c>
      <c r="E41" s="18">
        <v>0</v>
      </c>
      <c r="G41" s="18">
        <v>27306</v>
      </c>
      <c r="I41" s="18">
        <v>0</v>
      </c>
      <c r="K41" s="18">
        <f t="shared" si="0"/>
        <v>27306</v>
      </c>
      <c r="M41" s="18">
        <v>0</v>
      </c>
      <c r="O41" s="18">
        <v>27306</v>
      </c>
      <c r="Q41" s="18">
        <v>0</v>
      </c>
      <c r="R41" s="32"/>
    </row>
    <row r="42" spans="1:18" s="18" customFormat="1" ht="13.5" customHeight="1">
      <c r="A42" s="18" t="s">
        <v>159</v>
      </c>
      <c r="B42" s="19"/>
      <c r="C42" s="18">
        <v>0</v>
      </c>
      <c r="E42" s="18">
        <v>0</v>
      </c>
      <c r="G42" s="18">
        <v>11591</v>
      </c>
      <c r="I42" s="18">
        <v>1950</v>
      </c>
      <c r="K42" s="18">
        <f t="shared" si="0"/>
        <v>13541</v>
      </c>
      <c r="M42" s="18">
        <v>4810</v>
      </c>
      <c r="O42" s="18">
        <v>8731</v>
      </c>
      <c r="Q42" s="18">
        <v>0</v>
      </c>
      <c r="R42" s="32"/>
    </row>
    <row r="43" spans="1:18" s="18" customFormat="1" ht="13.5" customHeight="1">
      <c r="A43" s="18" t="s">
        <v>45</v>
      </c>
      <c r="B43" s="19" t="s">
        <v>15</v>
      </c>
      <c r="C43" s="18">
        <v>42651</v>
      </c>
      <c r="E43" s="18">
        <v>0</v>
      </c>
      <c r="G43" s="18">
        <v>24619</v>
      </c>
      <c r="I43" s="18">
        <v>4999</v>
      </c>
      <c r="K43" s="18">
        <f t="shared" si="0"/>
        <v>72269</v>
      </c>
      <c r="M43" s="18">
        <v>29600</v>
      </c>
      <c r="O43" s="18">
        <f>42670-1</f>
        <v>42669</v>
      </c>
      <c r="Q43" s="18">
        <v>0</v>
      </c>
      <c r="R43" s="32"/>
    </row>
    <row r="44" spans="1:18" s="18" customFormat="1" ht="13.5" customHeight="1">
      <c r="A44" s="18" t="s">
        <v>211</v>
      </c>
      <c r="B44" s="19"/>
      <c r="C44" s="18">
        <v>0</v>
      </c>
      <c r="E44" s="18">
        <v>0</v>
      </c>
      <c r="G44" s="18">
        <v>0</v>
      </c>
      <c r="I44" s="18">
        <v>228454</v>
      </c>
      <c r="K44" s="18">
        <f t="shared" si="0"/>
        <v>228454</v>
      </c>
      <c r="M44" s="18">
        <v>215336</v>
      </c>
      <c r="O44" s="18">
        <v>13118</v>
      </c>
      <c r="Q44" s="18">
        <v>0</v>
      </c>
      <c r="R44" s="32"/>
    </row>
    <row r="45" spans="1:18" s="18" customFormat="1" ht="13.5" customHeight="1">
      <c r="A45" s="18" t="s">
        <v>46</v>
      </c>
      <c r="B45" s="19" t="s">
        <v>15</v>
      </c>
      <c r="C45" s="18">
        <v>9377</v>
      </c>
      <c r="E45" s="18">
        <v>0</v>
      </c>
      <c r="G45" s="18">
        <v>0</v>
      </c>
      <c r="I45" s="18">
        <v>0</v>
      </c>
      <c r="K45" s="18">
        <f t="shared" si="0"/>
        <v>9377</v>
      </c>
      <c r="M45" s="18">
        <v>8577</v>
      </c>
      <c r="O45" s="18">
        <v>800</v>
      </c>
      <c r="Q45" s="18">
        <v>0</v>
      </c>
      <c r="R45" s="32"/>
    </row>
    <row r="46" spans="1:18" s="18" customFormat="1" ht="13.5" customHeight="1">
      <c r="A46" s="18" t="s">
        <v>47</v>
      </c>
      <c r="B46" s="19" t="s">
        <v>15</v>
      </c>
      <c r="C46" s="18">
        <v>5685</v>
      </c>
      <c r="E46" s="18">
        <v>0</v>
      </c>
      <c r="G46" s="18">
        <v>32530</v>
      </c>
      <c r="I46" s="18">
        <v>0</v>
      </c>
      <c r="K46" s="18">
        <f t="shared" si="0"/>
        <v>38215</v>
      </c>
      <c r="M46" s="18">
        <v>29590</v>
      </c>
      <c r="O46" s="18">
        <v>8625</v>
      </c>
      <c r="Q46" s="18">
        <v>0</v>
      </c>
      <c r="R46" s="32"/>
    </row>
    <row r="47" spans="1:18" s="18" customFormat="1" ht="13.5" customHeight="1">
      <c r="A47" s="18" t="s">
        <v>48</v>
      </c>
      <c r="B47" s="19" t="s">
        <v>15</v>
      </c>
      <c r="C47" s="18">
        <v>0</v>
      </c>
      <c r="E47" s="18">
        <v>0</v>
      </c>
      <c r="G47" s="18">
        <v>5831</v>
      </c>
      <c r="I47" s="18">
        <v>12082</v>
      </c>
      <c r="K47" s="18">
        <f t="shared" si="0"/>
        <v>17913</v>
      </c>
      <c r="M47" s="18">
        <v>4866</v>
      </c>
      <c r="O47" s="18">
        <v>13047</v>
      </c>
      <c r="Q47" s="18">
        <v>0</v>
      </c>
      <c r="R47" s="32"/>
    </row>
    <row r="48" spans="1:18" s="18" customFormat="1" ht="13.5" customHeight="1">
      <c r="A48" s="18" t="s">
        <v>49</v>
      </c>
      <c r="B48" s="19" t="s">
        <v>15</v>
      </c>
      <c r="C48" s="18">
        <v>0</v>
      </c>
      <c r="E48" s="18">
        <v>0</v>
      </c>
      <c r="G48" s="18">
        <v>11325</v>
      </c>
      <c r="I48" s="18">
        <v>2000</v>
      </c>
      <c r="K48" s="18">
        <f t="shared" si="0"/>
        <v>13325</v>
      </c>
      <c r="M48" s="18">
        <v>13325</v>
      </c>
      <c r="O48" s="18">
        <v>0</v>
      </c>
      <c r="Q48" s="18">
        <v>0</v>
      </c>
      <c r="R48" s="32"/>
    </row>
    <row r="49" spans="1:18" s="18" customFormat="1" ht="13.5" customHeight="1">
      <c r="A49" s="18" t="s">
        <v>41</v>
      </c>
      <c r="B49" s="19" t="s">
        <v>15</v>
      </c>
      <c r="C49" s="18">
        <v>0</v>
      </c>
      <c r="E49" s="18">
        <v>107742</v>
      </c>
      <c r="G49" s="18">
        <v>8812</v>
      </c>
      <c r="I49" s="18">
        <v>3785</v>
      </c>
      <c r="K49" s="18">
        <f t="shared" si="0"/>
        <v>120339</v>
      </c>
      <c r="M49" s="18">
        <v>110623</v>
      </c>
      <c r="O49" s="18">
        <v>2982</v>
      </c>
      <c r="Q49" s="18">
        <v>6734</v>
      </c>
      <c r="R49" s="32"/>
    </row>
    <row r="50" spans="1:18" s="18" customFormat="1" ht="13.5" customHeight="1">
      <c r="A50" s="18" t="s">
        <v>50</v>
      </c>
      <c r="B50" s="19" t="s">
        <v>15</v>
      </c>
      <c r="C50" s="18">
        <v>764198</v>
      </c>
      <c r="E50" s="18">
        <v>0</v>
      </c>
      <c r="G50" s="18">
        <v>31490</v>
      </c>
      <c r="I50" s="18">
        <v>0</v>
      </c>
      <c r="K50" s="18">
        <f t="shared" si="0"/>
        <v>795688</v>
      </c>
      <c r="M50" s="18">
        <v>453613</v>
      </c>
      <c r="O50" s="18">
        <v>316849</v>
      </c>
      <c r="Q50" s="18">
        <v>25226</v>
      </c>
      <c r="R50" s="32"/>
    </row>
    <row r="51" spans="1:18" s="18" customFormat="1" ht="13.5" customHeight="1">
      <c r="A51" s="18" t="s">
        <v>52</v>
      </c>
      <c r="B51" s="19" t="s">
        <v>15</v>
      </c>
      <c r="C51" s="18">
        <v>0</v>
      </c>
      <c r="E51" s="18">
        <v>0</v>
      </c>
      <c r="G51" s="18">
        <v>12798</v>
      </c>
      <c r="I51" s="18">
        <v>5133</v>
      </c>
      <c r="K51" s="18">
        <f t="shared" si="0"/>
        <v>17931</v>
      </c>
      <c r="M51" s="18">
        <v>12798</v>
      </c>
      <c r="O51" s="18">
        <v>5133</v>
      </c>
      <c r="Q51" s="18">
        <v>0</v>
      </c>
      <c r="R51" s="32"/>
    </row>
    <row r="52" spans="1:18" s="18" customFormat="1" ht="13.5" customHeight="1">
      <c r="A52" s="18" t="s">
        <v>53</v>
      </c>
      <c r="B52" s="19" t="s">
        <v>15</v>
      </c>
      <c r="C52" s="18">
        <v>241087</v>
      </c>
      <c r="E52" s="18">
        <v>0</v>
      </c>
      <c r="G52" s="18">
        <v>73069</v>
      </c>
      <c r="I52" s="18">
        <v>0</v>
      </c>
      <c r="K52" s="18">
        <f t="shared" si="0"/>
        <v>314156</v>
      </c>
      <c r="M52" s="18">
        <v>164418</v>
      </c>
      <c r="O52" s="18">
        <f>138270+1</f>
        <v>138271</v>
      </c>
      <c r="Q52" s="18">
        <v>11467</v>
      </c>
      <c r="R52" s="32"/>
    </row>
    <row r="53" spans="1:18" s="18" customFormat="1" ht="13.5" customHeight="1">
      <c r="A53" s="18" t="s">
        <v>97</v>
      </c>
      <c r="B53" s="19"/>
      <c r="C53" s="18">
        <v>18800</v>
      </c>
      <c r="E53" s="18">
        <v>0</v>
      </c>
      <c r="G53" s="18">
        <v>0</v>
      </c>
      <c r="I53" s="18">
        <v>0</v>
      </c>
      <c r="K53" s="17">
        <f t="shared" si="0"/>
        <v>18800</v>
      </c>
      <c r="M53" s="18">
        <v>18800</v>
      </c>
      <c r="O53" s="18">
        <v>0</v>
      </c>
      <c r="Q53" s="18">
        <v>0</v>
      </c>
      <c r="R53" s="32"/>
    </row>
    <row r="54" spans="1:18" s="18" customFormat="1" ht="13.5" customHeight="1">
      <c r="A54" s="18" t="s">
        <v>165</v>
      </c>
      <c r="B54" s="19" t="s">
        <v>15</v>
      </c>
      <c r="C54" s="20">
        <f>SUM(C40:C53)</f>
        <v>1081798</v>
      </c>
      <c r="E54" s="20">
        <f>SUM(E40:E53)</f>
        <v>116479</v>
      </c>
      <c r="G54" s="20">
        <f>SUM(G40:G53)</f>
        <v>239371</v>
      </c>
      <c r="I54" s="20">
        <f>SUM(I40:I53)</f>
        <v>259475</v>
      </c>
      <c r="K54" s="20">
        <f t="shared" si="0"/>
        <v>1697123</v>
      </c>
      <c r="M54" s="20">
        <f>SUM(M40:M53)</f>
        <v>1066356</v>
      </c>
      <c r="O54" s="20">
        <f>SUM(O40:O53)</f>
        <v>587340</v>
      </c>
      <c r="Q54" s="20">
        <f>SUM(Q40:Q53)</f>
        <v>43427</v>
      </c>
      <c r="R54" s="32"/>
    </row>
    <row r="55" spans="2:18" s="18" customFormat="1" ht="13.5" customHeight="1">
      <c r="B55" s="19" t="s">
        <v>15</v>
      </c>
      <c r="R55" s="32"/>
    </row>
    <row r="56" spans="1:18" s="18" customFormat="1" ht="13.5" customHeight="1">
      <c r="A56" s="18" t="s">
        <v>17</v>
      </c>
      <c r="B56" s="21">
        <f>SUM(B50:B55)</f>
        <v>0</v>
      </c>
      <c r="C56" s="18" t="s">
        <v>15</v>
      </c>
      <c r="E56" s="18" t="s">
        <v>15</v>
      </c>
      <c r="G56" s="18" t="s">
        <v>15</v>
      </c>
      <c r="I56" s="18" t="s">
        <v>15</v>
      </c>
      <c r="M56" s="18" t="s">
        <v>15</v>
      </c>
      <c r="O56" s="18" t="s">
        <v>15</v>
      </c>
      <c r="Q56" s="18" t="s">
        <v>15</v>
      </c>
      <c r="R56" s="32"/>
    </row>
    <row r="57" spans="1:18" s="18" customFormat="1" ht="13.5" customHeight="1">
      <c r="A57" s="18" t="s">
        <v>54</v>
      </c>
      <c r="B57" s="19" t="s">
        <v>15</v>
      </c>
      <c r="C57" s="18">
        <v>0</v>
      </c>
      <c r="E57" s="18">
        <v>0</v>
      </c>
      <c r="G57" s="18">
        <v>436967</v>
      </c>
      <c r="I57" s="18">
        <v>476</v>
      </c>
      <c r="K57" s="18">
        <f t="shared" si="0"/>
        <v>437443</v>
      </c>
      <c r="M57" s="18">
        <v>328004</v>
      </c>
      <c r="O57" s="18">
        <f>109440-1</f>
        <v>109439</v>
      </c>
      <c r="Q57" s="18">
        <v>0</v>
      </c>
      <c r="R57" s="32"/>
    </row>
    <row r="58" spans="1:18" s="18" customFormat="1" ht="13.5" customHeight="1">
      <c r="A58" s="18" t="s">
        <v>55</v>
      </c>
      <c r="B58" s="19" t="s">
        <v>15</v>
      </c>
      <c r="C58" s="18">
        <v>0</v>
      </c>
      <c r="E58" s="18">
        <v>4086</v>
      </c>
      <c r="G58" s="18">
        <v>25966</v>
      </c>
      <c r="I58" s="18">
        <v>0</v>
      </c>
      <c r="K58" s="18">
        <f t="shared" si="0"/>
        <v>30052</v>
      </c>
      <c r="M58" s="18">
        <v>21700</v>
      </c>
      <c r="O58" s="18">
        <v>8352</v>
      </c>
      <c r="Q58" s="18">
        <v>0</v>
      </c>
      <c r="R58" s="32"/>
    </row>
    <row r="59" spans="1:18" s="18" customFormat="1" ht="13.5" customHeight="1">
      <c r="A59" s="18" t="s">
        <v>56</v>
      </c>
      <c r="B59" s="19" t="s">
        <v>15</v>
      </c>
      <c r="C59" s="18">
        <v>0</v>
      </c>
      <c r="E59" s="18">
        <v>75297</v>
      </c>
      <c r="G59" s="18">
        <v>20775</v>
      </c>
      <c r="I59" s="18">
        <v>0</v>
      </c>
      <c r="K59" s="18">
        <f t="shared" si="0"/>
        <v>96072</v>
      </c>
      <c r="M59" s="18">
        <v>86515</v>
      </c>
      <c r="O59" s="18">
        <v>9557</v>
      </c>
      <c r="Q59" s="18">
        <v>0</v>
      </c>
      <c r="R59" s="32"/>
    </row>
    <row r="60" spans="1:18" s="18" customFormat="1" ht="13.5" customHeight="1">
      <c r="A60" s="18" t="s">
        <v>57</v>
      </c>
      <c r="B60" s="19" t="s">
        <v>15</v>
      </c>
      <c r="C60" s="18">
        <v>52000</v>
      </c>
      <c r="E60" s="18">
        <v>0</v>
      </c>
      <c r="G60" s="18">
        <v>89872</v>
      </c>
      <c r="I60" s="18">
        <v>41773</v>
      </c>
      <c r="K60" s="18">
        <f t="shared" si="0"/>
        <v>183645</v>
      </c>
      <c r="M60" s="18">
        <v>95620</v>
      </c>
      <c r="O60" s="18">
        <v>88025</v>
      </c>
      <c r="Q60" s="18">
        <v>0</v>
      </c>
      <c r="R60" s="32"/>
    </row>
    <row r="61" spans="1:18" s="18" customFormat="1" ht="13.5" customHeight="1">
      <c r="A61" s="18" t="s">
        <v>41</v>
      </c>
      <c r="B61" s="19" t="s">
        <v>15</v>
      </c>
      <c r="C61" s="18">
        <v>0</v>
      </c>
      <c r="E61" s="18">
        <v>54280</v>
      </c>
      <c r="G61" s="18">
        <v>17076</v>
      </c>
      <c r="I61" s="18">
        <v>4229</v>
      </c>
      <c r="K61" s="18">
        <f t="shared" si="0"/>
        <v>75585</v>
      </c>
      <c r="M61" s="18">
        <v>65213</v>
      </c>
      <c r="O61" s="18">
        <f>6980-1</f>
        <v>6979</v>
      </c>
      <c r="Q61" s="18">
        <v>3393</v>
      </c>
      <c r="R61" s="32"/>
    </row>
    <row r="62" spans="1:18" s="18" customFormat="1" ht="13.5" customHeight="1">
      <c r="A62" s="18" t="s">
        <v>58</v>
      </c>
      <c r="B62" s="19" t="s">
        <v>15</v>
      </c>
      <c r="C62" s="17">
        <v>21974</v>
      </c>
      <c r="E62" s="17">
        <v>28427</v>
      </c>
      <c r="G62" s="17">
        <v>7261</v>
      </c>
      <c r="I62" s="17">
        <v>0</v>
      </c>
      <c r="K62" s="17">
        <f t="shared" si="0"/>
        <v>57662</v>
      </c>
      <c r="M62" s="17">
        <v>31416</v>
      </c>
      <c r="O62" s="17">
        <f>18963+1</f>
        <v>18964</v>
      </c>
      <c r="Q62" s="17">
        <v>7282</v>
      </c>
      <c r="R62" s="32"/>
    </row>
    <row r="63" spans="1:18" s="18" customFormat="1" ht="13.5" customHeight="1">
      <c r="A63" s="18" t="s">
        <v>166</v>
      </c>
      <c r="B63" s="19" t="s">
        <v>15</v>
      </c>
      <c r="C63" s="17">
        <f>SUM(C57:C62)</f>
        <v>73974</v>
      </c>
      <c r="E63" s="17">
        <f>SUM(E57:E62)</f>
        <v>162090</v>
      </c>
      <c r="G63" s="17">
        <f>SUM(G57:G62)</f>
        <v>597917</v>
      </c>
      <c r="I63" s="17">
        <f>SUM(I57:I62)</f>
        <v>46478</v>
      </c>
      <c r="K63" s="20">
        <f t="shared" si="0"/>
        <v>880459</v>
      </c>
      <c r="M63" s="17">
        <f>SUM(M57:M62)</f>
        <v>628468</v>
      </c>
      <c r="O63" s="17">
        <f>SUM(O57:O62)</f>
        <v>241316</v>
      </c>
      <c r="Q63" s="17">
        <f>SUM(Q57:Q62)</f>
        <v>10675</v>
      </c>
      <c r="R63" s="32"/>
    </row>
    <row r="64" spans="2:18" s="18" customFormat="1" ht="13.5" customHeight="1">
      <c r="B64" s="19" t="s">
        <v>15</v>
      </c>
      <c r="R64" s="32"/>
    </row>
    <row r="65" spans="1:18" s="18" customFormat="1" ht="13.5" customHeight="1">
      <c r="A65" s="18" t="s">
        <v>18</v>
      </c>
      <c r="B65" s="19" t="s">
        <v>15</v>
      </c>
      <c r="C65" s="18" t="s">
        <v>15</v>
      </c>
      <c r="E65" s="18" t="s">
        <v>15</v>
      </c>
      <c r="I65" s="18" t="s">
        <v>15</v>
      </c>
      <c r="O65" s="18" t="s">
        <v>15</v>
      </c>
      <c r="Q65" s="18" t="s">
        <v>15</v>
      </c>
      <c r="R65" s="32"/>
    </row>
    <row r="66" spans="1:18" s="18" customFormat="1" ht="13.5" customHeight="1">
      <c r="A66" s="18" t="s">
        <v>59</v>
      </c>
      <c r="B66" s="19" t="s">
        <v>15</v>
      </c>
      <c r="C66" s="18">
        <v>0</v>
      </c>
      <c r="E66" s="18">
        <v>0</v>
      </c>
      <c r="G66" s="18">
        <v>112929</v>
      </c>
      <c r="I66" s="18">
        <v>49661</v>
      </c>
      <c r="K66" s="18">
        <f t="shared" si="0"/>
        <v>162590</v>
      </c>
      <c r="M66" s="18">
        <v>105399</v>
      </c>
      <c r="O66" s="18">
        <v>57191</v>
      </c>
      <c r="Q66" s="18">
        <v>0</v>
      </c>
      <c r="R66" s="32"/>
    </row>
    <row r="67" spans="1:18" s="18" customFormat="1" ht="13.5" customHeight="1">
      <c r="A67" s="18" t="s">
        <v>60</v>
      </c>
      <c r="B67" s="19" t="s">
        <v>15</v>
      </c>
      <c r="C67" s="18">
        <v>0</v>
      </c>
      <c r="E67" s="18">
        <v>0</v>
      </c>
      <c r="G67" s="18">
        <v>37083</v>
      </c>
      <c r="I67" s="18">
        <v>39451</v>
      </c>
      <c r="K67" s="18">
        <f t="shared" si="0"/>
        <v>76534</v>
      </c>
      <c r="M67" s="18">
        <v>65010</v>
      </c>
      <c r="O67" s="18">
        <f>11525-1</f>
        <v>11524</v>
      </c>
      <c r="Q67" s="18">
        <v>0</v>
      </c>
      <c r="R67" s="32"/>
    </row>
    <row r="68" spans="1:18" s="18" customFormat="1" ht="13.5" customHeight="1">
      <c r="A68" s="18" t="s">
        <v>61</v>
      </c>
      <c r="B68" s="19" t="s">
        <v>15</v>
      </c>
      <c r="C68" s="18">
        <v>0</v>
      </c>
      <c r="E68" s="18">
        <v>0</v>
      </c>
      <c r="G68" s="18">
        <v>0</v>
      </c>
      <c r="I68" s="18">
        <v>117701</v>
      </c>
      <c r="K68" s="18">
        <f t="shared" si="0"/>
        <v>117701</v>
      </c>
      <c r="M68" s="18">
        <v>72784</v>
      </c>
      <c r="O68" s="18">
        <v>44917</v>
      </c>
      <c r="Q68" s="18">
        <v>0</v>
      </c>
      <c r="R68" s="32"/>
    </row>
    <row r="69" spans="1:18" s="18" customFormat="1" ht="13.5" customHeight="1">
      <c r="A69" s="18" t="s">
        <v>62</v>
      </c>
      <c r="B69" s="19" t="s">
        <v>15</v>
      </c>
      <c r="C69" s="18">
        <v>0</v>
      </c>
      <c r="E69" s="18">
        <v>0</v>
      </c>
      <c r="G69" s="18">
        <v>128210</v>
      </c>
      <c r="I69" s="18">
        <v>66066</v>
      </c>
      <c r="K69" s="18">
        <f t="shared" si="0"/>
        <v>194276</v>
      </c>
      <c r="M69" s="18">
        <v>189447</v>
      </c>
      <c r="O69" s="18">
        <f>4830-1</f>
        <v>4829</v>
      </c>
      <c r="Q69" s="18">
        <v>0</v>
      </c>
      <c r="R69" s="32"/>
    </row>
    <row r="70" spans="1:18" s="18" customFormat="1" ht="13.5" customHeight="1">
      <c r="A70" s="18" t="s">
        <v>206</v>
      </c>
      <c r="B70" s="19" t="s">
        <v>15</v>
      </c>
      <c r="C70" s="18">
        <v>0</v>
      </c>
      <c r="E70" s="18">
        <v>0</v>
      </c>
      <c r="G70" s="18">
        <v>15194</v>
      </c>
      <c r="I70" s="18">
        <v>14473</v>
      </c>
      <c r="K70" s="18">
        <f t="shared" si="0"/>
        <v>29667</v>
      </c>
      <c r="M70" s="18">
        <v>20025</v>
      </c>
      <c r="O70" s="18">
        <f>9642</f>
        <v>9642</v>
      </c>
      <c r="Q70" s="18">
        <v>0</v>
      </c>
      <c r="R70" s="32"/>
    </row>
    <row r="71" spans="1:18" s="18" customFormat="1" ht="13.5" customHeight="1">
      <c r="A71" s="18" t="s">
        <v>197</v>
      </c>
      <c r="B71" s="19" t="s">
        <v>15</v>
      </c>
      <c r="C71" s="18">
        <v>0</v>
      </c>
      <c r="E71" s="18">
        <v>0</v>
      </c>
      <c r="G71" s="18">
        <v>19067</v>
      </c>
      <c r="I71" s="18">
        <v>0</v>
      </c>
      <c r="K71" s="18">
        <f t="shared" si="0"/>
        <v>19067</v>
      </c>
      <c r="M71" s="18">
        <v>13378</v>
      </c>
      <c r="O71" s="18">
        <f>5690-1</f>
        <v>5689</v>
      </c>
      <c r="Q71" s="18">
        <v>0</v>
      </c>
      <c r="R71" s="32"/>
    </row>
    <row r="72" spans="1:18" s="18" customFormat="1" ht="13.5" customHeight="1">
      <c r="A72" s="18" t="s">
        <v>41</v>
      </c>
      <c r="B72" s="19" t="s">
        <v>15</v>
      </c>
      <c r="C72" s="18">
        <v>0</v>
      </c>
      <c r="E72" s="18">
        <v>30382</v>
      </c>
      <c r="G72" s="18">
        <v>235143</v>
      </c>
      <c r="I72" s="18">
        <v>24186</v>
      </c>
      <c r="K72" s="18">
        <f t="shared" si="0"/>
        <v>289711</v>
      </c>
      <c r="M72" s="18">
        <v>121878</v>
      </c>
      <c r="O72" s="18">
        <f>165935-1</f>
        <v>165934</v>
      </c>
      <c r="Q72" s="18">
        <v>1899</v>
      </c>
      <c r="R72" s="32"/>
    </row>
    <row r="73" spans="1:18" s="18" customFormat="1" ht="13.5" customHeight="1">
      <c r="A73" s="18" t="s">
        <v>63</v>
      </c>
      <c r="B73" s="19" t="s">
        <v>15</v>
      </c>
      <c r="C73" s="18">
        <v>0</v>
      </c>
      <c r="E73" s="18">
        <v>0</v>
      </c>
      <c r="G73" s="18">
        <v>85880</v>
      </c>
      <c r="I73" s="18">
        <v>43404</v>
      </c>
      <c r="K73" s="18">
        <f t="shared" si="0"/>
        <v>129284</v>
      </c>
      <c r="M73" s="18">
        <v>89541</v>
      </c>
      <c r="O73" s="18">
        <v>39743</v>
      </c>
      <c r="Q73" s="18">
        <v>0</v>
      </c>
      <c r="R73" s="32"/>
    </row>
    <row r="74" spans="1:18" s="18" customFormat="1" ht="13.5" customHeight="1">
      <c r="A74" s="18" t="s">
        <v>64</v>
      </c>
      <c r="B74" s="19" t="s">
        <v>15</v>
      </c>
      <c r="C74" s="18">
        <v>0</v>
      </c>
      <c r="E74" s="18">
        <v>0</v>
      </c>
      <c r="G74" s="18">
        <v>65611</v>
      </c>
      <c r="I74" s="18">
        <v>34334</v>
      </c>
      <c r="K74" s="18">
        <f t="shared" si="0"/>
        <v>99945</v>
      </c>
      <c r="M74" s="18">
        <v>78892</v>
      </c>
      <c r="O74" s="18">
        <f>21054-1</f>
        <v>21053</v>
      </c>
      <c r="Q74" s="18">
        <v>0</v>
      </c>
      <c r="R74" s="32"/>
    </row>
    <row r="75" spans="1:18" s="18" customFormat="1" ht="13.5" customHeight="1">
      <c r="A75" s="18" t="s">
        <v>65</v>
      </c>
      <c r="B75" s="19" t="s">
        <v>15</v>
      </c>
      <c r="C75" s="21">
        <v>0</v>
      </c>
      <c r="E75" s="21">
        <v>0</v>
      </c>
      <c r="G75" s="21">
        <v>33591</v>
      </c>
      <c r="I75" s="21">
        <v>21382</v>
      </c>
      <c r="K75" s="17">
        <f t="shared" si="0"/>
        <v>54973</v>
      </c>
      <c r="M75" s="21">
        <v>51915</v>
      </c>
      <c r="O75" s="21">
        <f>3059-1</f>
        <v>3058</v>
      </c>
      <c r="Q75" s="21">
        <v>0</v>
      </c>
      <c r="R75" s="32"/>
    </row>
    <row r="76" spans="1:18" s="18" customFormat="1" ht="13.5" customHeight="1">
      <c r="A76" s="18" t="s">
        <v>167</v>
      </c>
      <c r="B76" s="19" t="s">
        <v>15</v>
      </c>
      <c r="C76" s="20">
        <f>SUM(C66:C75)</f>
        <v>0</v>
      </c>
      <c r="E76" s="20">
        <f>SUM(E66:E75)</f>
        <v>30382</v>
      </c>
      <c r="G76" s="20">
        <f>SUM(G66:G75)</f>
        <v>732708</v>
      </c>
      <c r="I76" s="20">
        <f>SUM(I66:I75)</f>
        <v>410658</v>
      </c>
      <c r="K76" s="20">
        <f t="shared" si="0"/>
        <v>1173748</v>
      </c>
      <c r="M76" s="20">
        <f>SUM(M66:M75)</f>
        <v>808269</v>
      </c>
      <c r="O76" s="20">
        <f>SUM(O66:O75)</f>
        <v>363580</v>
      </c>
      <c r="Q76" s="20">
        <f>SUM(Q66:Q75)</f>
        <v>1899</v>
      </c>
      <c r="R76" s="32"/>
    </row>
    <row r="77" spans="2:18" s="18" customFormat="1" ht="13.5" customHeight="1">
      <c r="B77" s="19" t="s">
        <v>15</v>
      </c>
      <c r="R77" s="32"/>
    </row>
    <row r="78" spans="1:18" s="18" customFormat="1" ht="13.5" customHeight="1">
      <c r="A78" s="18" t="s">
        <v>218</v>
      </c>
      <c r="B78" s="19" t="s">
        <v>15</v>
      </c>
      <c r="C78" s="18" t="s">
        <v>15</v>
      </c>
      <c r="E78" s="18" t="s">
        <v>15</v>
      </c>
      <c r="G78" s="18" t="s">
        <v>15</v>
      </c>
      <c r="I78" s="18" t="s">
        <v>15</v>
      </c>
      <c r="M78" s="18" t="s">
        <v>15</v>
      </c>
      <c r="O78" s="18" t="s">
        <v>15</v>
      </c>
      <c r="Q78" s="18" t="s">
        <v>15</v>
      </c>
      <c r="R78" s="32"/>
    </row>
    <row r="79" spans="1:18" s="18" customFormat="1" ht="13.5" customHeight="1">
      <c r="A79" s="18" t="s">
        <v>268</v>
      </c>
      <c r="B79" s="19"/>
      <c r="C79" s="37">
        <v>0</v>
      </c>
      <c r="E79" s="37">
        <v>0</v>
      </c>
      <c r="G79" s="37">
        <v>15642</v>
      </c>
      <c r="I79" s="37">
        <v>0</v>
      </c>
      <c r="K79" s="17">
        <f t="shared" si="0"/>
        <v>15642</v>
      </c>
      <c r="M79" s="37">
        <v>4707</v>
      </c>
      <c r="O79" s="37">
        <v>9776</v>
      </c>
      <c r="Q79" s="37">
        <v>1159</v>
      </c>
      <c r="R79" s="32"/>
    </row>
    <row r="80" spans="2:18" s="18" customFormat="1" ht="13.5" customHeight="1">
      <c r="B80" s="19"/>
      <c r="C80" s="21"/>
      <c r="E80" s="21"/>
      <c r="G80" s="21"/>
      <c r="I80" s="21"/>
      <c r="M80" s="21"/>
      <c r="O80" s="21"/>
      <c r="Q80" s="21"/>
      <c r="R80" s="32"/>
    </row>
    <row r="81" spans="1:18" s="18" customFormat="1" ht="13.5" customHeight="1">
      <c r="A81" s="18" t="s">
        <v>19</v>
      </c>
      <c r="B81" s="19" t="s">
        <v>15</v>
      </c>
      <c r="R81" s="32"/>
    </row>
    <row r="82" spans="1:18" s="18" customFormat="1" ht="13.5" customHeight="1">
      <c r="A82" s="18" t="s">
        <v>41</v>
      </c>
      <c r="B82" s="19" t="s">
        <v>15</v>
      </c>
      <c r="C82" s="18">
        <v>0</v>
      </c>
      <c r="E82" s="18">
        <v>342</v>
      </c>
      <c r="G82" s="18">
        <v>4670</v>
      </c>
      <c r="I82" s="18">
        <v>0</v>
      </c>
      <c r="K82" s="18">
        <f t="shared" si="0"/>
        <v>5012</v>
      </c>
      <c r="M82" s="18">
        <v>320</v>
      </c>
      <c r="O82" s="18">
        <f>4670+1</f>
        <v>4671</v>
      </c>
      <c r="Q82" s="18">
        <v>21</v>
      </c>
      <c r="R82" s="32"/>
    </row>
    <row r="83" spans="1:18" s="18" customFormat="1" ht="13.5" customHeight="1">
      <c r="A83" s="18" t="s">
        <v>290</v>
      </c>
      <c r="B83" s="19" t="s">
        <v>15</v>
      </c>
      <c r="C83" s="17">
        <v>710376</v>
      </c>
      <c r="E83" s="17">
        <v>0</v>
      </c>
      <c r="G83" s="17">
        <v>0</v>
      </c>
      <c r="I83" s="17">
        <v>0</v>
      </c>
      <c r="K83" s="17">
        <f t="shared" si="0"/>
        <v>710376</v>
      </c>
      <c r="M83" s="17">
        <v>160781</v>
      </c>
      <c r="O83" s="17">
        <v>480429</v>
      </c>
      <c r="Q83" s="17">
        <v>69166</v>
      </c>
      <c r="R83" s="32"/>
    </row>
    <row r="84" spans="1:18" s="18" customFormat="1" ht="13.5" customHeight="1">
      <c r="A84" s="18" t="s">
        <v>168</v>
      </c>
      <c r="B84" s="19" t="s">
        <v>15</v>
      </c>
      <c r="C84" s="17">
        <f>SUM(C82:C83)</f>
        <v>710376</v>
      </c>
      <c r="E84" s="17">
        <f>SUM(E82:E83)</f>
        <v>342</v>
      </c>
      <c r="G84" s="17">
        <f>SUM(G82:G83)</f>
        <v>4670</v>
      </c>
      <c r="I84" s="17">
        <f>SUM(I82:I83)</f>
        <v>0</v>
      </c>
      <c r="K84" s="17">
        <f t="shared" si="0"/>
        <v>715388</v>
      </c>
      <c r="M84" s="17">
        <f>SUM(M82:M83)</f>
        <v>161101</v>
      </c>
      <c r="O84" s="17">
        <f>SUM(O82:O83)</f>
        <v>485100</v>
      </c>
      <c r="Q84" s="17">
        <f>SUM(Q82:Q83)</f>
        <v>69187</v>
      </c>
      <c r="R84" s="32"/>
    </row>
    <row r="85" spans="2:18" s="18" customFormat="1" ht="13.5" customHeight="1">
      <c r="B85" s="19" t="s">
        <v>15</v>
      </c>
      <c r="R85" s="32"/>
    </row>
    <row r="86" spans="1:18" s="18" customFormat="1" ht="13.5" customHeight="1">
      <c r="A86" s="18" t="s">
        <v>212</v>
      </c>
      <c r="B86" s="19"/>
      <c r="C86" s="17">
        <v>0</v>
      </c>
      <c r="E86" s="17">
        <v>3232</v>
      </c>
      <c r="G86" s="17">
        <v>0</v>
      </c>
      <c r="I86" s="17">
        <v>0</v>
      </c>
      <c r="K86" s="17">
        <f t="shared" si="0"/>
        <v>3232</v>
      </c>
      <c r="M86" s="17">
        <v>3030</v>
      </c>
      <c r="O86" s="17">
        <v>0</v>
      </c>
      <c r="Q86" s="17">
        <v>202</v>
      </c>
      <c r="R86" s="32"/>
    </row>
    <row r="87" spans="2:18" s="18" customFormat="1" ht="13.5" customHeight="1">
      <c r="B87" s="19"/>
      <c r="Q87" s="24"/>
      <c r="R87" s="32"/>
    </row>
    <row r="88" spans="1:18" s="18" customFormat="1" ht="13.5" customHeight="1">
      <c r="A88" s="18" t="s">
        <v>207</v>
      </c>
      <c r="B88" s="19"/>
      <c r="C88" s="17">
        <v>9925</v>
      </c>
      <c r="E88" s="17">
        <v>0</v>
      </c>
      <c r="G88" s="17">
        <v>28236</v>
      </c>
      <c r="I88" s="17">
        <v>0</v>
      </c>
      <c r="K88" s="17">
        <f aca="true" t="shared" si="1" ref="K88:K149">IF(SUM(C88:I88)=SUM(M88:Q88),SUM(C88:I88),SUM(M88:Q88)-SUM(C88:I88))</f>
        <v>38161</v>
      </c>
      <c r="M88" s="17">
        <v>0</v>
      </c>
      <c r="O88" s="17">
        <v>38161</v>
      </c>
      <c r="Q88" s="17">
        <v>0</v>
      </c>
      <c r="R88" s="32"/>
    </row>
    <row r="89" spans="2:18" s="18" customFormat="1" ht="13.5" customHeight="1">
      <c r="B89" s="19"/>
      <c r="R89" s="32"/>
    </row>
    <row r="90" spans="1:18" s="18" customFormat="1" ht="13.5" customHeight="1">
      <c r="A90" s="18" t="s">
        <v>20</v>
      </c>
      <c r="B90" s="19" t="s">
        <v>15</v>
      </c>
      <c r="C90" s="18" t="s">
        <v>15</v>
      </c>
      <c r="E90" s="18" t="s">
        <v>15</v>
      </c>
      <c r="G90" s="18" t="s">
        <v>15</v>
      </c>
      <c r="I90" s="18" t="s">
        <v>15</v>
      </c>
      <c r="M90" s="18" t="s">
        <v>15</v>
      </c>
      <c r="O90" s="18" t="s">
        <v>15</v>
      </c>
      <c r="Q90" s="18" t="s">
        <v>15</v>
      </c>
      <c r="R90" s="32"/>
    </row>
    <row r="91" spans="1:18" s="18" customFormat="1" ht="13.5" customHeight="1">
      <c r="A91" s="18" t="s">
        <v>309</v>
      </c>
      <c r="B91" s="19" t="s">
        <v>15</v>
      </c>
      <c r="C91" s="18">
        <v>785189</v>
      </c>
      <c r="E91" s="18">
        <v>126922</v>
      </c>
      <c r="G91" s="18">
        <v>50016</v>
      </c>
      <c r="I91" s="18">
        <v>0</v>
      </c>
      <c r="K91" s="18">
        <f>IF(SUM(C91:I91)=SUM(M91:Q91),SUM(C91:I91),SUM(M91:Q91)-SUM(C91:I91))</f>
        <v>962127</v>
      </c>
      <c r="M91" s="18">
        <v>512158</v>
      </c>
      <c r="O91" s="18">
        <v>400523</v>
      </c>
      <c r="Q91" s="18">
        <v>49446</v>
      </c>
      <c r="R91" s="32"/>
    </row>
    <row r="92" spans="1:18" s="18" customFormat="1" ht="13.5" customHeight="1">
      <c r="A92" s="18" t="s">
        <v>41</v>
      </c>
      <c r="B92" s="19" t="s">
        <v>15</v>
      </c>
      <c r="C92" s="18">
        <v>769920</v>
      </c>
      <c r="E92" s="18">
        <v>46931</v>
      </c>
      <c r="G92" s="18">
        <v>26018</v>
      </c>
      <c r="I92" s="18">
        <v>6981</v>
      </c>
      <c r="K92" s="18">
        <f t="shared" si="1"/>
        <v>849850</v>
      </c>
      <c r="M92" s="18">
        <v>711047</v>
      </c>
      <c r="O92" s="18">
        <f>135869+1</f>
        <v>135870</v>
      </c>
      <c r="Q92" s="18">
        <v>2933</v>
      </c>
      <c r="R92" s="32"/>
    </row>
    <row r="93" spans="1:18" s="18" customFormat="1" ht="13.5" customHeight="1">
      <c r="A93" s="18" t="s">
        <v>69</v>
      </c>
      <c r="B93" s="19" t="s">
        <v>15</v>
      </c>
      <c r="C93" s="21">
        <v>0</v>
      </c>
      <c r="E93" s="21">
        <v>0</v>
      </c>
      <c r="G93" s="21">
        <v>63157</v>
      </c>
      <c r="I93" s="21">
        <v>3200</v>
      </c>
      <c r="K93" s="18">
        <f t="shared" si="1"/>
        <v>66357</v>
      </c>
      <c r="M93" s="21">
        <v>47023</v>
      </c>
      <c r="O93" s="21">
        <v>19334</v>
      </c>
      <c r="Q93" s="21">
        <v>0</v>
      </c>
      <c r="R93" s="32"/>
    </row>
    <row r="94" spans="1:18" s="18" customFormat="1" ht="13.5" customHeight="1">
      <c r="A94" s="18" t="s">
        <v>288</v>
      </c>
      <c r="B94" s="19"/>
      <c r="C94" s="17">
        <v>61423</v>
      </c>
      <c r="E94" s="17">
        <v>0</v>
      </c>
      <c r="G94" s="17">
        <v>865</v>
      </c>
      <c r="I94" s="17">
        <v>0</v>
      </c>
      <c r="K94" s="17">
        <f t="shared" si="1"/>
        <v>62288</v>
      </c>
      <c r="M94" s="17">
        <v>60030</v>
      </c>
      <c r="O94" s="17">
        <v>2246</v>
      </c>
      <c r="Q94" s="17">
        <v>12</v>
      </c>
      <c r="R94" s="32"/>
    </row>
    <row r="95" spans="1:18" s="18" customFormat="1" ht="13.5" customHeight="1">
      <c r="A95" s="18" t="s">
        <v>169</v>
      </c>
      <c r="B95" s="19" t="s">
        <v>15</v>
      </c>
      <c r="C95" s="17">
        <f>SUM(C91:C94)</f>
        <v>1616532</v>
      </c>
      <c r="E95" s="17">
        <f>SUM(E91:E94)</f>
        <v>173853</v>
      </c>
      <c r="G95" s="17">
        <f>SUM(G91:G94)</f>
        <v>140056</v>
      </c>
      <c r="I95" s="17">
        <f>SUM(I91:I94)</f>
        <v>10181</v>
      </c>
      <c r="K95" s="20">
        <f t="shared" si="1"/>
        <v>1940622</v>
      </c>
      <c r="M95" s="17">
        <f>SUM(M91:M94)</f>
        <v>1330258</v>
      </c>
      <c r="O95" s="17">
        <f>SUM(O91:O94)</f>
        <v>557973</v>
      </c>
      <c r="Q95" s="17">
        <f>SUM(Q91:Q94)</f>
        <v>52391</v>
      </c>
      <c r="R95" s="32"/>
    </row>
    <row r="96" spans="2:18" s="18" customFormat="1" ht="13.5" customHeight="1">
      <c r="B96" s="19" t="s">
        <v>15</v>
      </c>
      <c r="R96" s="32"/>
    </row>
    <row r="97" spans="1:18" s="18" customFormat="1" ht="13.5" customHeight="1">
      <c r="A97" s="18" t="s">
        <v>21</v>
      </c>
      <c r="B97" s="19" t="s">
        <v>15</v>
      </c>
      <c r="C97" s="18" t="s">
        <v>15</v>
      </c>
      <c r="E97" s="18" t="s">
        <v>15</v>
      </c>
      <c r="G97" s="18" t="s">
        <v>15</v>
      </c>
      <c r="I97" s="18" t="s">
        <v>15</v>
      </c>
      <c r="M97" s="18" t="s">
        <v>15</v>
      </c>
      <c r="O97" s="18" t="s">
        <v>15</v>
      </c>
      <c r="Q97" s="18" t="s">
        <v>15</v>
      </c>
      <c r="R97" s="32"/>
    </row>
    <row r="98" spans="1:18" s="18" customFormat="1" ht="13.5" customHeight="1">
      <c r="A98" s="18" t="s">
        <v>70</v>
      </c>
      <c r="B98" s="19" t="s">
        <v>15</v>
      </c>
      <c r="C98" s="18">
        <v>0</v>
      </c>
      <c r="E98" s="18">
        <v>0</v>
      </c>
      <c r="G98" s="18">
        <v>140304</v>
      </c>
      <c r="I98" s="18">
        <v>351</v>
      </c>
      <c r="K98" s="18">
        <f t="shared" si="1"/>
        <v>140655</v>
      </c>
      <c r="M98" s="18">
        <v>104938</v>
      </c>
      <c r="O98" s="18">
        <v>35717</v>
      </c>
      <c r="Q98" s="18">
        <v>0</v>
      </c>
      <c r="R98" s="32"/>
    </row>
    <row r="99" spans="1:18" s="18" customFormat="1" ht="13.5" customHeight="1">
      <c r="A99" s="18" t="s">
        <v>71</v>
      </c>
      <c r="B99" s="19" t="s">
        <v>15</v>
      </c>
      <c r="C99" s="18">
        <v>37031</v>
      </c>
      <c r="E99" s="18">
        <v>82786</v>
      </c>
      <c r="G99" s="18">
        <v>11262</v>
      </c>
      <c r="I99" s="18">
        <v>1300</v>
      </c>
      <c r="K99" s="18">
        <f t="shared" si="1"/>
        <v>132379</v>
      </c>
      <c r="M99" s="18">
        <v>80562</v>
      </c>
      <c r="O99" s="18">
        <v>27737</v>
      </c>
      <c r="Q99" s="18">
        <v>24080</v>
      </c>
      <c r="R99" s="32"/>
    </row>
    <row r="100" spans="1:18" s="18" customFormat="1" ht="13.5" customHeight="1">
      <c r="A100" s="18" t="s">
        <v>72</v>
      </c>
      <c r="B100" s="19" t="s">
        <v>15</v>
      </c>
      <c r="C100" s="18">
        <v>0</v>
      </c>
      <c r="E100" s="18">
        <v>1785</v>
      </c>
      <c r="G100" s="18">
        <v>4562</v>
      </c>
      <c r="I100" s="18">
        <v>12172</v>
      </c>
      <c r="K100" s="18">
        <f t="shared" si="1"/>
        <v>18519</v>
      </c>
      <c r="M100" s="18">
        <v>9420</v>
      </c>
      <c r="O100" s="18">
        <v>8020</v>
      </c>
      <c r="Q100" s="18">
        <v>1079</v>
      </c>
      <c r="R100" s="32"/>
    </row>
    <row r="101" spans="1:18" s="18" customFormat="1" ht="13.5" customHeight="1">
      <c r="A101" s="18" t="s">
        <v>104</v>
      </c>
      <c r="B101" s="19"/>
      <c r="C101" s="18">
        <v>0</v>
      </c>
      <c r="E101" s="18">
        <v>0</v>
      </c>
      <c r="G101" s="18">
        <v>41136</v>
      </c>
      <c r="I101" s="18">
        <v>-22320</v>
      </c>
      <c r="K101" s="18">
        <f t="shared" si="1"/>
        <v>18816</v>
      </c>
      <c r="M101" s="18">
        <v>16336</v>
      </c>
      <c r="O101" s="18">
        <v>2480</v>
      </c>
      <c r="Q101" s="18">
        <v>0</v>
      </c>
      <c r="R101" s="32"/>
    </row>
    <row r="102" spans="1:18" s="18" customFormat="1" ht="13.5" customHeight="1">
      <c r="A102" s="18" t="s">
        <v>41</v>
      </c>
      <c r="B102" s="19"/>
      <c r="C102" s="18">
        <v>0</v>
      </c>
      <c r="E102" s="18">
        <v>196773</v>
      </c>
      <c r="G102" s="18">
        <v>114860</v>
      </c>
      <c r="I102" s="18">
        <v>21290</v>
      </c>
      <c r="K102" s="18">
        <f t="shared" si="1"/>
        <v>332923</v>
      </c>
      <c r="M102" s="18">
        <v>207374</v>
      </c>
      <c r="O102" s="18">
        <f>71120+1</f>
        <v>71121</v>
      </c>
      <c r="Q102" s="18">
        <v>54428</v>
      </c>
      <c r="R102" s="32"/>
    </row>
    <row r="103" spans="1:18" s="18" customFormat="1" ht="13.5" customHeight="1">
      <c r="A103" s="18" t="s">
        <v>243</v>
      </c>
      <c r="B103" s="19"/>
      <c r="C103" s="18">
        <v>716797</v>
      </c>
      <c r="E103" s="18">
        <v>0</v>
      </c>
      <c r="G103" s="18">
        <v>0</v>
      </c>
      <c r="I103" s="18">
        <v>0</v>
      </c>
      <c r="K103" s="18">
        <f t="shared" si="1"/>
        <v>716797</v>
      </c>
      <c r="M103" s="18">
        <v>0</v>
      </c>
      <c r="O103" s="18">
        <v>716797</v>
      </c>
      <c r="Q103" s="18">
        <v>0</v>
      </c>
      <c r="R103" s="32"/>
    </row>
    <row r="104" spans="1:18" s="18" customFormat="1" ht="13.5" customHeight="1">
      <c r="A104" s="18" t="s">
        <v>73</v>
      </c>
      <c r="B104" s="19" t="s">
        <v>15</v>
      </c>
      <c r="C104" s="18">
        <v>68796</v>
      </c>
      <c r="E104" s="18">
        <v>333</v>
      </c>
      <c r="G104" s="18">
        <v>39346</v>
      </c>
      <c r="I104" s="18">
        <v>0</v>
      </c>
      <c r="K104" s="18">
        <f t="shared" si="1"/>
        <v>108475</v>
      </c>
      <c r="M104" s="18">
        <v>74738</v>
      </c>
      <c r="O104" s="18">
        <f>33736+1</f>
        <v>33737</v>
      </c>
      <c r="Q104" s="18">
        <v>0</v>
      </c>
      <c r="R104" s="32"/>
    </row>
    <row r="105" spans="1:18" s="18" customFormat="1" ht="13.5" customHeight="1">
      <c r="A105" s="18" t="s">
        <v>74</v>
      </c>
      <c r="B105" s="19" t="s">
        <v>15</v>
      </c>
      <c r="C105" s="17">
        <v>28</v>
      </c>
      <c r="E105" s="17">
        <v>0</v>
      </c>
      <c r="G105" s="17">
        <v>86366</v>
      </c>
      <c r="I105" s="17">
        <v>0</v>
      </c>
      <c r="K105" s="17">
        <f t="shared" si="1"/>
        <v>86394</v>
      </c>
      <c r="M105" s="17">
        <v>26592</v>
      </c>
      <c r="O105" s="17">
        <v>59774</v>
      </c>
      <c r="Q105" s="17">
        <v>28</v>
      </c>
      <c r="R105" s="32"/>
    </row>
    <row r="106" spans="1:18" s="18" customFormat="1" ht="13.5" customHeight="1">
      <c r="A106" s="18" t="s">
        <v>170</v>
      </c>
      <c r="B106" s="19" t="s">
        <v>15</v>
      </c>
      <c r="C106" s="20">
        <f>SUM(C98:C105)</f>
        <v>822652</v>
      </c>
      <c r="E106" s="20">
        <f>SUM(E98:E105)</f>
        <v>281677</v>
      </c>
      <c r="G106" s="20">
        <f>SUM(G98:G105)</f>
        <v>437836</v>
      </c>
      <c r="I106" s="20">
        <f>SUM(I98:I105)</f>
        <v>12793</v>
      </c>
      <c r="K106" s="20">
        <f t="shared" si="1"/>
        <v>1554958</v>
      </c>
      <c r="M106" s="17">
        <f>IF(SUM(M98:M105)=0,"         --",(SUM(M98:M105)))</f>
        <v>519960</v>
      </c>
      <c r="O106" s="17">
        <f>IF(SUM(O98:O105)=0,"         --",(SUM(O98:O105)))</f>
        <v>955383</v>
      </c>
      <c r="Q106" s="17">
        <f>IF(SUM(Q98:Q105)=0,"        --",(SUM(Q98:Q105)))</f>
        <v>79615</v>
      </c>
      <c r="R106" s="32"/>
    </row>
    <row r="107" spans="2:18" s="18" customFormat="1" ht="13.5" customHeight="1">
      <c r="B107" s="19" t="s">
        <v>15</v>
      </c>
      <c r="R107" s="32"/>
    </row>
    <row r="108" spans="1:18" s="18" customFormat="1" ht="13.5" customHeight="1">
      <c r="A108" s="18" t="s">
        <v>277</v>
      </c>
      <c r="B108" s="19"/>
      <c r="C108" s="17">
        <v>607340</v>
      </c>
      <c r="E108" s="17">
        <v>170622</v>
      </c>
      <c r="G108" s="17">
        <v>334810</v>
      </c>
      <c r="I108" s="17">
        <v>721</v>
      </c>
      <c r="K108" s="17">
        <f t="shared" si="1"/>
        <v>1113493</v>
      </c>
      <c r="M108" s="17">
        <v>698458</v>
      </c>
      <c r="O108" s="17">
        <f>340283+1</f>
        <v>340284</v>
      </c>
      <c r="Q108" s="17">
        <v>74751</v>
      </c>
      <c r="R108" s="32"/>
    </row>
    <row r="109" spans="2:18" s="18" customFormat="1" ht="13.5" customHeight="1">
      <c r="B109" s="19"/>
      <c r="R109" s="32"/>
    </row>
    <row r="110" spans="1:18" s="18" customFormat="1" ht="13.5" customHeight="1">
      <c r="A110" s="18" t="s">
        <v>75</v>
      </c>
      <c r="B110" s="19" t="s">
        <v>15</v>
      </c>
      <c r="C110" s="17">
        <v>0</v>
      </c>
      <c r="E110" s="17">
        <v>6149</v>
      </c>
      <c r="G110" s="17">
        <v>0</v>
      </c>
      <c r="I110" s="17">
        <v>0</v>
      </c>
      <c r="K110" s="17">
        <f t="shared" si="1"/>
        <v>6149</v>
      </c>
      <c r="M110" s="17">
        <v>5765</v>
      </c>
      <c r="O110" s="17">
        <v>0</v>
      </c>
      <c r="Q110" s="17">
        <v>384</v>
      </c>
      <c r="R110" s="32"/>
    </row>
    <row r="111" spans="2:18" s="18" customFormat="1" ht="13.5" customHeight="1">
      <c r="B111" s="19" t="s">
        <v>15</v>
      </c>
      <c r="R111" s="32"/>
    </row>
    <row r="112" spans="1:18" s="18" customFormat="1" ht="13.5" customHeight="1">
      <c r="A112" s="18" t="s">
        <v>76</v>
      </c>
      <c r="B112" s="19" t="s">
        <v>15</v>
      </c>
      <c r="C112" s="17">
        <v>0</v>
      </c>
      <c r="E112" s="17">
        <v>0</v>
      </c>
      <c r="G112" s="17">
        <v>27642</v>
      </c>
      <c r="I112" s="17">
        <v>25513</v>
      </c>
      <c r="K112" s="17">
        <f t="shared" si="1"/>
        <v>53155</v>
      </c>
      <c r="M112" s="17">
        <v>36200</v>
      </c>
      <c r="O112" s="17">
        <v>16955</v>
      </c>
      <c r="Q112" s="17">
        <v>0</v>
      </c>
      <c r="R112" s="32"/>
    </row>
    <row r="113" spans="2:18" s="18" customFormat="1" ht="13.5" customHeight="1">
      <c r="B113" s="19" t="s">
        <v>15</v>
      </c>
      <c r="R113" s="32"/>
    </row>
    <row r="114" spans="1:18" s="18" customFormat="1" ht="13.5" customHeight="1">
      <c r="A114" s="18" t="s">
        <v>160</v>
      </c>
      <c r="B114" s="19" t="s">
        <v>15</v>
      </c>
      <c r="C114" s="17">
        <v>0</v>
      </c>
      <c r="E114" s="17">
        <v>88055</v>
      </c>
      <c r="G114" s="17">
        <v>0</v>
      </c>
      <c r="I114" s="17">
        <v>0</v>
      </c>
      <c r="K114" s="17">
        <f t="shared" si="1"/>
        <v>88055</v>
      </c>
      <c r="M114" s="17">
        <v>37357</v>
      </c>
      <c r="O114" s="17">
        <v>21681</v>
      </c>
      <c r="Q114" s="17">
        <v>29017</v>
      </c>
      <c r="R114" s="32"/>
    </row>
    <row r="115" spans="2:18" s="18" customFormat="1" ht="13.5" customHeight="1">
      <c r="B115" s="19" t="s">
        <v>15</v>
      </c>
      <c r="R115" s="32"/>
    </row>
    <row r="116" spans="1:18" s="18" customFormat="1" ht="13.5" customHeight="1">
      <c r="A116" s="18" t="s">
        <v>77</v>
      </c>
      <c r="B116" s="19" t="s">
        <v>15</v>
      </c>
      <c r="C116" s="17">
        <v>0</v>
      </c>
      <c r="E116" s="17">
        <v>2141</v>
      </c>
      <c r="G116" s="17">
        <v>91315</v>
      </c>
      <c r="I116" s="17">
        <v>0</v>
      </c>
      <c r="K116" s="17">
        <f t="shared" si="1"/>
        <v>93456</v>
      </c>
      <c r="M116" s="17">
        <v>90189</v>
      </c>
      <c r="O116" s="17">
        <v>3133</v>
      </c>
      <c r="Q116" s="17">
        <v>134</v>
      </c>
      <c r="R116" s="32"/>
    </row>
    <row r="117" spans="2:18" s="18" customFormat="1" ht="13.5" customHeight="1">
      <c r="B117" s="19" t="s">
        <v>15</v>
      </c>
      <c r="R117" s="32"/>
    </row>
    <row r="118" spans="1:18" s="18" customFormat="1" ht="13.5" customHeight="1">
      <c r="A118" s="18" t="s">
        <v>22</v>
      </c>
      <c r="B118" s="19" t="s">
        <v>15</v>
      </c>
      <c r="C118" s="18" t="s">
        <v>15</v>
      </c>
      <c r="E118" s="18" t="s">
        <v>15</v>
      </c>
      <c r="G118" s="18" t="s">
        <v>15</v>
      </c>
      <c r="I118" s="18" t="s">
        <v>15</v>
      </c>
      <c r="M118" s="18" t="s">
        <v>15</v>
      </c>
      <c r="O118" s="18" t="s">
        <v>15</v>
      </c>
      <c r="Q118" s="18" t="s">
        <v>15</v>
      </c>
      <c r="R118" s="32"/>
    </row>
    <row r="119" spans="1:18" s="18" customFormat="1" ht="13.5" customHeight="1">
      <c r="A119" s="18" t="s">
        <v>78</v>
      </c>
      <c r="B119" s="19" t="s">
        <v>15</v>
      </c>
      <c r="C119" s="18">
        <v>0</v>
      </c>
      <c r="E119" s="18">
        <v>0</v>
      </c>
      <c r="G119" s="18">
        <v>46361</v>
      </c>
      <c r="I119" s="18">
        <v>5825</v>
      </c>
      <c r="K119" s="18">
        <f t="shared" si="1"/>
        <v>52186</v>
      </c>
      <c r="M119" s="18">
        <v>11475</v>
      </c>
      <c r="O119" s="18">
        <v>40711</v>
      </c>
      <c r="Q119" s="18">
        <v>0</v>
      </c>
      <c r="R119" s="32"/>
    </row>
    <row r="120" spans="1:18" s="18" customFormat="1" ht="13.5" customHeight="1">
      <c r="A120" s="18" t="s">
        <v>79</v>
      </c>
      <c r="B120" s="19" t="s">
        <v>15</v>
      </c>
      <c r="C120" s="18">
        <v>0</v>
      </c>
      <c r="E120" s="18">
        <v>0</v>
      </c>
      <c r="G120" s="18">
        <v>5911</v>
      </c>
      <c r="I120" s="18">
        <v>77710</v>
      </c>
      <c r="K120" s="18">
        <f t="shared" si="1"/>
        <v>83621</v>
      </c>
      <c r="M120" s="18">
        <v>30431</v>
      </c>
      <c r="O120" s="18">
        <f>53117+1</f>
        <v>53118</v>
      </c>
      <c r="Q120" s="18">
        <v>72</v>
      </c>
      <c r="R120" s="32"/>
    </row>
    <row r="121" spans="1:18" s="18" customFormat="1" ht="13.5" customHeight="1">
      <c r="A121" s="18" t="s">
        <v>41</v>
      </c>
      <c r="B121" s="19" t="s">
        <v>15</v>
      </c>
      <c r="C121" s="18">
        <v>0</v>
      </c>
      <c r="E121" s="18">
        <v>14246</v>
      </c>
      <c r="G121" s="18">
        <v>26003</v>
      </c>
      <c r="I121" s="18">
        <v>4442</v>
      </c>
      <c r="K121" s="18">
        <f t="shared" si="1"/>
        <v>44691</v>
      </c>
      <c r="M121" s="18">
        <v>22855</v>
      </c>
      <c r="O121" s="18">
        <f>20945+1</f>
        <v>20946</v>
      </c>
      <c r="Q121" s="18">
        <v>890</v>
      </c>
      <c r="R121" s="32"/>
    </row>
    <row r="122" spans="1:18" s="18" customFormat="1" ht="13.5" customHeight="1">
      <c r="A122" s="18" t="s">
        <v>291</v>
      </c>
      <c r="B122" s="19" t="s">
        <v>15</v>
      </c>
      <c r="C122" s="18">
        <v>0</v>
      </c>
      <c r="E122" s="18">
        <v>0</v>
      </c>
      <c r="G122" s="18">
        <v>34939</v>
      </c>
      <c r="I122" s="18">
        <v>248326</v>
      </c>
      <c r="K122" s="18">
        <f t="shared" si="1"/>
        <v>283265</v>
      </c>
      <c r="M122" s="18">
        <v>139352</v>
      </c>
      <c r="O122" s="18">
        <v>143913</v>
      </c>
      <c r="R122" s="32"/>
    </row>
    <row r="123" spans="1:18" s="18" customFormat="1" ht="13.5" customHeight="1">
      <c r="A123" s="18" t="s">
        <v>247</v>
      </c>
      <c r="B123" s="19" t="s">
        <v>15</v>
      </c>
      <c r="C123" s="17">
        <v>0</v>
      </c>
      <c r="E123" s="17">
        <v>0</v>
      </c>
      <c r="G123" s="17">
        <v>9850</v>
      </c>
      <c r="I123" s="17">
        <v>43166</v>
      </c>
      <c r="K123" s="17">
        <f t="shared" si="1"/>
        <v>53016</v>
      </c>
      <c r="M123" s="17">
        <v>19838</v>
      </c>
      <c r="O123" s="17">
        <f>33177+1</f>
        <v>33178</v>
      </c>
      <c r="Q123" s="17">
        <v>0</v>
      </c>
      <c r="R123" s="32"/>
    </row>
    <row r="124" spans="1:18" s="18" customFormat="1" ht="13.5" customHeight="1">
      <c r="A124" s="18" t="s">
        <v>171</v>
      </c>
      <c r="B124" s="19" t="s">
        <v>15</v>
      </c>
      <c r="C124" s="17">
        <f>SUM(C119:C123)</f>
        <v>0</v>
      </c>
      <c r="E124" s="17">
        <f>SUM(E119:E123)</f>
        <v>14246</v>
      </c>
      <c r="G124" s="17">
        <f>SUM(G119:G123)</f>
        <v>123064</v>
      </c>
      <c r="I124" s="17">
        <f>SUM(I119:I123)</f>
        <v>379469</v>
      </c>
      <c r="K124" s="20">
        <f t="shared" si="1"/>
        <v>516779</v>
      </c>
      <c r="M124" s="17">
        <f>SUM(M119:M123)</f>
        <v>223951</v>
      </c>
      <c r="O124" s="17">
        <f>SUM(O119:O123)</f>
        <v>291866</v>
      </c>
      <c r="Q124" s="17">
        <f>SUM(Q119:Q123)</f>
        <v>962</v>
      </c>
      <c r="R124" s="32"/>
    </row>
    <row r="125" spans="2:18" s="18" customFormat="1" ht="13.5" customHeight="1">
      <c r="B125" s="19" t="s">
        <v>15</v>
      </c>
      <c r="R125" s="32"/>
    </row>
    <row r="126" spans="1:18" s="18" customFormat="1" ht="13.5" customHeight="1">
      <c r="A126" s="18" t="s">
        <v>239</v>
      </c>
      <c r="B126" s="19"/>
      <c r="R126" s="32"/>
    </row>
    <row r="127" spans="1:18" s="18" customFormat="1" ht="13.5" customHeight="1">
      <c r="A127" s="18" t="s">
        <v>214</v>
      </c>
      <c r="B127" s="19"/>
      <c r="C127" s="18">
        <v>0</v>
      </c>
      <c r="E127" s="18">
        <v>4934959</v>
      </c>
      <c r="G127" s="18">
        <v>0</v>
      </c>
      <c r="I127" s="18">
        <v>0</v>
      </c>
      <c r="K127" s="18">
        <f t="shared" si="1"/>
        <v>4934959</v>
      </c>
      <c r="M127" s="18">
        <v>190167</v>
      </c>
      <c r="O127" s="18">
        <f>4447027+1</f>
        <v>4447028</v>
      </c>
      <c r="Q127" s="18">
        <v>297764</v>
      </c>
      <c r="R127" s="32"/>
    </row>
    <row r="128" spans="1:18" s="18" customFormat="1" ht="13.5" customHeight="1">
      <c r="A128" s="18" t="s">
        <v>213</v>
      </c>
      <c r="B128" s="19"/>
      <c r="C128" s="18">
        <v>0</v>
      </c>
      <c r="E128" s="18">
        <v>28283</v>
      </c>
      <c r="G128" s="18">
        <v>0</v>
      </c>
      <c r="I128" s="18">
        <v>1907174</v>
      </c>
      <c r="K128" s="18">
        <f t="shared" si="1"/>
        <v>1935457</v>
      </c>
      <c r="M128" s="18">
        <v>1088626</v>
      </c>
      <c r="O128" s="18">
        <v>840995</v>
      </c>
      <c r="Q128" s="18">
        <v>5836</v>
      </c>
      <c r="R128" s="32"/>
    </row>
    <row r="129" spans="1:18" s="18" customFormat="1" ht="13.5" customHeight="1">
      <c r="A129" s="18" t="s">
        <v>41</v>
      </c>
      <c r="B129" s="19"/>
      <c r="C129" s="18">
        <v>0</v>
      </c>
      <c r="E129" s="18">
        <v>0</v>
      </c>
      <c r="G129" s="18">
        <v>0</v>
      </c>
      <c r="I129" s="18">
        <v>106106</v>
      </c>
      <c r="K129" s="18">
        <f t="shared" si="1"/>
        <v>106106</v>
      </c>
      <c r="M129" s="18">
        <v>51509</v>
      </c>
      <c r="O129" s="18">
        <v>54597</v>
      </c>
      <c r="Q129" s="18">
        <v>0</v>
      </c>
      <c r="R129" s="32"/>
    </row>
    <row r="130" spans="1:18" s="18" customFormat="1" ht="13.5" customHeight="1">
      <c r="A130" s="18" t="s">
        <v>215</v>
      </c>
      <c r="B130" s="19"/>
      <c r="C130" s="21">
        <v>14861</v>
      </c>
      <c r="E130" s="18">
        <v>24013895</v>
      </c>
      <c r="G130" s="18">
        <v>515298</v>
      </c>
      <c r="I130" s="18">
        <v>70992</v>
      </c>
      <c r="K130" s="17">
        <f t="shared" si="1"/>
        <v>24615046</v>
      </c>
      <c r="M130" s="18">
        <v>7486815</v>
      </c>
      <c r="O130" s="18">
        <f>13356362-1</f>
        <v>13356361</v>
      </c>
      <c r="Q130" s="18">
        <v>3771870</v>
      </c>
      <c r="R130" s="32"/>
    </row>
    <row r="131" spans="1:18" s="18" customFormat="1" ht="13.5" customHeight="1">
      <c r="A131" s="18" t="s">
        <v>210</v>
      </c>
      <c r="B131" s="19"/>
      <c r="C131" s="20">
        <f>SUM(C127:C130)</f>
        <v>14861</v>
      </c>
      <c r="E131" s="20">
        <f>SUM(E127:E130)</f>
        <v>28977137</v>
      </c>
      <c r="G131" s="20">
        <f>SUM(G127:G130)</f>
        <v>515298</v>
      </c>
      <c r="I131" s="20">
        <f>SUM(I127:I130)</f>
        <v>2084272</v>
      </c>
      <c r="K131" s="20">
        <f t="shared" si="1"/>
        <v>31591568</v>
      </c>
      <c r="M131" s="20">
        <f>SUM(M127:M130)</f>
        <v>8817117</v>
      </c>
      <c r="O131" s="20">
        <f>SUM(O127:O130)</f>
        <v>18698981</v>
      </c>
      <c r="Q131" s="20">
        <f>SUM(Q127:Q130)</f>
        <v>4075470</v>
      </c>
      <c r="R131" s="32"/>
    </row>
    <row r="132" spans="2:18" s="18" customFormat="1" ht="13.5" customHeight="1">
      <c r="B132" s="19"/>
      <c r="R132" s="32"/>
    </row>
    <row r="133" spans="1:18" s="18" customFormat="1" ht="13.5" customHeight="1">
      <c r="A133" s="18" t="s">
        <v>81</v>
      </c>
      <c r="B133" s="19" t="s">
        <v>15</v>
      </c>
      <c r="C133" s="17">
        <v>203442</v>
      </c>
      <c r="E133" s="17">
        <v>5937</v>
      </c>
      <c r="G133" s="17">
        <v>2460</v>
      </c>
      <c r="I133" s="17">
        <v>50285</v>
      </c>
      <c r="K133" s="17">
        <f t="shared" si="1"/>
        <v>262124</v>
      </c>
      <c r="M133" s="17">
        <v>149395</v>
      </c>
      <c r="O133" s="17">
        <v>46277</v>
      </c>
      <c r="Q133" s="17">
        <v>66452</v>
      </c>
      <c r="R133" s="32"/>
    </row>
    <row r="134" spans="2:18" s="18" customFormat="1" ht="13.5" customHeight="1">
      <c r="B134" s="19"/>
      <c r="C134" s="21"/>
      <c r="E134" s="21"/>
      <c r="G134" s="21"/>
      <c r="I134" s="21"/>
      <c r="M134" s="21"/>
      <c r="O134" s="21"/>
      <c r="Q134" s="21"/>
      <c r="R134" s="32"/>
    </row>
    <row r="135" spans="1:18" s="18" customFormat="1" ht="13.5" customHeight="1">
      <c r="A135" s="18" t="s">
        <v>308</v>
      </c>
      <c r="B135" s="19"/>
      <c r="C135" s="17">
        <v>19709</v>
      </c>
      <c r="E135" s="17">
        <v>279423</v>
      </c>
      <c r="G135" s="17">
        <v>245243</v>
      </c>
      <c r="I135" s="17">
        <v>65478</v>
      </c>
      <c r="K135" s="17">
        <f t="shared" si="1"/>
        <v>609853</v>
      </c>
      <c r="M135" s="17">
        <v>451484</v>
      </c>
      <c r="O135" s="17">
        <v>98791</v>
      </c>
      <c r="Q135" s="17">
        <v>59578</v>
      </c>
      <c r="R135" s="32"/>
    </row>
    <row r="136" spans="2:18" s="18" customFormat="1" ht="13.5" customHeight="1">
      <c r="B136" s="19" t="s">
        <v>15</v>
      </c>
      <c r="R136" s="32"/>
    </row>
    <row r="137" spans="1:18" s="18" customFormat="1" ht="13.5" customHeight="1">
      <c r="A137" s="18" t="s">
        <v>82</v>
      </c>
      <c r="B137" s="19" t="s">
        <v>15</v>
      </c>
      <c r="C137" s="17">
        <v>19364</v>
      </c>
      <c r="E137" s="17">
        <v>0</v>
      </c>
      <c r="G137" s="17">
        <v>0</v>
      </c>
      <c r="I137" s="17">
        <v>0</v>
      </c>
      <c r="K137" s="17">
        <f t="shared" si="1"/>
        <v>19364</v>
      </c>
      <c r="M137" s="17">
        <v>19364</v>
      </c>
      <c r="O137" s="17">
        <v>0</v>
      </c>
      <c r="Q137" s="17">
        <v>0</v>
      </c>
      <c r="R137" s="32"/>
    </row>
    <row r="138" spans="2:18" s="18" customFormat="1" ht="13.5" customHeight="1">
      <c r="B138" s="19" t="s">
        <v>15</v>
      </c>
      <c r="R138" s="32"/>
    </row>
    <row r="139" spans="1:18" s="18" customFormat="1" ht="13.5" customHeight="1">
      <c r="A139" s="18" t="s">
        <v>83</v>
      </c>
      <c r="B139" s="19" t="s">
        <v>15</v>
      </c>
      <c r="C139" s="17">
        <v>0</v>
      </c>
      <c r="E139" s="17">
        <v>0</v>
      </c>
      <c r="G139" s="17">
        <v>0</v>
      </c>
      <c r="I139" s="17">
        <v>4260706</v>
      </c>
      <c r="K139" s="17">
        <f t="shared" si="1"/>
        <v>4260706</v>
      </c>
      <c r="M139" s="17">
        <v>664457</v>
      </c>
      <c r="O139" s="17">
        <f>3596250-1</f>
        <v>3596249</v>
      </c>
      <c r="Q139" s="17">
        <v>0</v>
      </c>
      <c r="R139" s="32"/>
    </row>
    <row r="140" spans="2:18" s="18" customFormat="1" ht="13.5" customHeight="1">
      <c r="B140" s="19" t="s">
        <v>15</v>
      </c>
      <c r="R140" s="32"/>
    </row>
    <row r="141" spans="1:18" s="18" customFormat="1" ht="13.5" customHeight="1">
      <c r="A141" s="18" t="s">
        <v>84</v>
      </c>
      <c r="B141" s="19" t="s">
        <v>15</v>
      </c>
      <c r="C141" s="17">
        <v>0</v>
      </c>
      <c r="E141" s="17">
        <v>317681</v>
      </c>
      <c r="G141" s="17">
        <v>33770</v>
      </c>
      <c r="I141" s="17">
        <v>10000</v>
      </c>
      <c r="K141" s="17">
        <f t="shared" si="1"/>
        <v>361451</v>
      </c>
      <c r="M141" s="17">
        <v>266381</v>
      </c>
      <c r="O141" s="17">
        <v>72286</v>
      </c>
      <c r="Q141" s="17">
        <v>22784</v>
      </c>
      <c r="R141" s="32"/>
    </row>
    <row r="142" spans="2:18" s="18" customFormat="1" ht="13.5" customHeight="1">
      <c r="B142" s="19" t="s">
        <v>15</v>
      </c>
      <c r="R142" s="32"/>
    </row>
    <row r="143" spans="1:18" s="18" customFormat="1" ht="13.5" customHeight="1">
      <c r="A143" s="18" t="s">
        <v>25</v>
      </c>
      <c r="B143" s="19" t="s">
        <v>15</v>
      </c>
      <c r="R143" s="32"/>
    </row>
    <row r="144" spans="1:18" s="18" customFormat="1" ht="13.5" customHeight="1">
      <c r="A144" s="18" t="s">
        <v>85</v>
      </c>
      <c r="B144" s="19" t="s">
        <v>15</v>
      </c>
      <c r="C144" s="18">
        <v>0</v>
      </c>
      <c r="E144" s="18">
        <v>0</v>
      </c>
      <c r="G144" s="18">
        <v>39620</v>
      </c>
      <c r="I144" s="18">
        <v>0</v>
      </c>
      <c r="K144" s="18">
        <f t="shared" si="1"/>
        <v>39620</v>
      </c>
      <c r="M144" s="18">
        <v>18853</v>
      </c>
      <c r="O144" s="18">
        <f>20768-1</f>
        <v>20767</v>
      </c>
      <c r="Q144" s="18">
        <v>0</v>
      </c>
      <c r="R144" s="32"/>
    </row>
    <row r="145" spans="1:18" s="18" customFormat="1" ht="13.5" customHeight="1">
      <c r="A145" s="18" t="s">
        <v>41</v>
      </c>
      <c r="B145" s="19" t="s">
        <v>15</v>
      </c>
      <c r="C145" s="18">
        <v>0</v>
      </c>
      <c r="E145" s="18">
        <v>6170</v>
      </c>
      <c r="G145" s="18">
        <v>115560</v>
      </c>
      <c r="I145" s="18">
        <v>64369</v>
      </c>
      <c r="K145" s="18">
        <f t="shared" si="1"/>
        <v>186099</v>
      </c>
      <c r="M145" s="18">
        <v>103428</v>
      </c>
      <c r="O145" s="18">
        <v>73841</v>
      </c>
      <c r="Q145" s="18">
        <v>8830</v>
      </c>
      <c r="R145" s="32"/>
    </row>
    <row r="146" spans="1:18" s="18" customFormat="1" ht="13.5" customHeight="1">
      <c r="A146" s="18" t="s">
        <v>161</v>
      </c>
      <c r="B146" s="19"/>
      <c r="C146" s="18">
        <v>0</v>
      </c>
      <c r="E146" s="18">
        <v>47598</v>
      </c>
      <c r="G146" s="18">
        <v>0</v>
      </c>
      <c r="I146" s="18">
        <v>0</v>
      </c>
      <c r="K146" s="18">
        <f t="shared" si="1"/>
        <v>47598</v>
      </c>
      <c r="M146" s="18">
        <v>21254</v>
      </c>
      <c r="O146" s="18">
        <v>23738</v>
      </c>
      <c r="Q146" s="18">
        <v>2606</v>
      </c>
      <c r="R146" s="32"/>
    </row>
    <row r="147" spans="1:18" s="21" customFormat="1" ht="13.5" customHeight="1">
      <c r="A147" s="21" t="s">
        <v>86</v>
      </c>
      <c r="B147" s="22" t="s">
        <v>15</v>
      </c>
      <c r="C147" s="21">
        <v>0</v>
      </c>
      <c r="E147" s="21">
        <v>0</v>
      </c>
      <c r="G147" s="21">
        <v>14566</v>
      </c>
      <c r="I147" s="21">
        <v>183440</v>
      </c>
      <c r="K147" s="18">
        <f t="shared" si="1"/>
        <v>198006</v>
      </c>
      <c r="M147" s="21">
        <v>0</v>
      </c>
      <c r="O147" s="21">
        <v>198006</v>
      </c>
      <c r="Q147" s="21">
        <v>0</v>
      </c>
      <c r="R147" s="33"/>
    </row>
    <row r="148" spans="1:18" s="18" customFormat="1" ht="13.5" customHeight="1">
      <c r="A148" s="18" t="s">
        <v>202</v>
      </c>
      <c r="B148" s="19"/>
      <c r="C148" s="17">
        <v>0</v>
      </c>
      <c r="E148" s="17">
        <v>0</v>
      </c>
      <c r="G148" s="17">
        <v>0</v>
      </c>
      <c r="I148" s="17">
        <v>51020</v>
      </c>
      <c r="K148" s="17">
        <f t="shared" si="1"/>
        <v>51020</v>
      </c>
      <c r="M148" s="17">
        <v>0</v>
      </c>
      <c r="O148" s="17">
        <v>51020</v>
      </c>
      <c r="Q148" s="17">
        <v>0</v>
      </c>
      <c r="R148" s="32"/>
    </row>
    <row r="149" spans="1:18" s="18" customFormat="1" ht="13.5" customHeight="1">
      <c r="A149" s="18" t="s">
        <v>172</v>
      </c>
      <c r="B149" s="19" t="s">
        <v>15</v>
      </c>
      <c r="C149" s="17">
        <f>SUM(C144:C148)</f>
        <v>0</v>
      </c>
      <c r="E149" s="17">
        <f>SUM(E144:E148)</f>
        <v>53768</v>
      </c>
      <c r="G149" s="17">
        <f>SUM(G144:G148)</f>
        <v>169746</v>
      </c>
      <c r="I149" s="17">
        <f>SUM(I144:I148)</f>
        <v>298829</v>
      </c>
      <c r="K149" s="20">
        <f t="shared" si="1"/>
        <v>522343</v>
      </c>
      <c r="M149" s="17">
        <f>SUM(M144:M148)</f>
        <v>143535</v>
      </c>
      <c r="O149" s="17">
        <f>SUM(O144:O148)</f>
        <v>367372</v>
      </c>
      <c r="Q149" s="17">
        <f>SUM(Q144:Q148)</f>
        <v>11436</v>
      </c>
      <c r="R149" s="32"/>
    </row>
    <row r="150" spans="2:18" s="18" customFormat="1" ht="13.5" customHeight="1">
      <c r="B150" s="19" t="s">
        <v>15</v>
      </c>
      <c r="R150" s="32"/>
    </row>
    <row r="151" spans="1:18" s="18" customFormat="1" ht="13.5" customHeight="1">
      <c r="A151" s="18" t="s">
        <v>173</v>
      </c>
      <c r="B151" s="19" t="s">
        <v>15</v>
      </c>
      <c r="C151" s="17">
        <f>SUM(C149,C141,C139,C137,C135,C133,C131,C124,C116,C114,C112,C110,C108,C106,C95,C88,C86,C84,C79,C76,C63,C54,C37,C29,C18)</f>
        <v>6086660</v>
      </c>
      <c r="D151" s="27"/>
      <c r="E151" s="17">
        <f>SUM(E149,E141,E139,E137,E135,E133,E131,E124,E116,E114,E112,E110,E108,E106,E95,E88,E86,E84,E79,E76,E63,E54,E37,E29,E18)</f>
        <v>30759332</v>
      </c>
      <c r="F151" s="27"/>
      <c r="G151" s="17">
        <f>SUM(G149,G141,G139,G137,G135,G133,G131,G124,G116,G114,G112,G110,G108,G106,G95,G88,G86,G84,G79,G76,G63,G54,G37,G29,G18)</f>
        <v>3972852</v>
      </c>
      <c r="H151" s="27"/>
      <c r="I151" s="17">
        <f>SUM(I149,I141,I139,I137,I135,I133,I131,I124,I116,I114,I112,I110,I108,I106,I95,I88,I86,I84,I79,I76,I63,I54,I37,I29,I18)</f>
        <v>8042763</v>
      </c>
      <c r="J151" s="21"/>
      <c r="K151" s="17">
        <f>SUM(K149,K141,K139,K137,K135,K133,K131,K124,K116,K114,K112,K110,K108,K106,K95,K88,K86,K84,K79,K76,K63,K54,K37,K29,K18)</f>
        <v>48861607</v>
      </c>
      <c r="L151" s="21"/>
      <c r="M151" s="17">
        <f>SUM(M149,M141,M139,M137,M135,M133,M131,M124,M116,M114,M112,M110,M108,M106,M95,M88,M86,M84,M79,M76,M63,M54,M37,M29,M18)</f>
        <v>17089140</v>
      </c>
      <c r="N151" s="21"/>
      <c r="O151" s="17">
        <f>SUM(O149,O141,O139,O137,O135,O133,O131,O124,O116,O114,O112,O110,O108,O106,O95,O88,O86,O84,O79,O76,O63,O54,O37,O29,O18)</f>
        <v>27140617</v>
      </c>
      <c r="P151" s="27"/>
      <c r="Q151" s="17">
        <f>SUM(Q149,Q141,Q139,Q137,Q135,Q133,Q131,Q124,Q116,Q114,Q112,Q110,Q108,Q106,Q95,Q88,Q86,Q84,Q79,Q76,Q63,Q54,Q37,Q29,Q18)</f>
        <v>4631850</v>
      </c>
      <c r="R151" s="32"/>
    </row>
    <row r="152" spans="2:18" s="18" customFormat="1" ht="13.5" customHeight="1">
      <c r="B152" s="19" t="s">
        <v>15</v>
      </c>
      <c r="F152" s="27"/>
      <c r="R152" s="32"/>
    </row>
    <row r="153" spans="1:18" s="18" customFormat="1" ht="13.5" customHeight="1">
      <c r="A153" s="18" t="s">
        <v>23</v>
      </c>
      <c r="B153" s="19" t="s">
        <v>15</v>
      </c>
      <c r="C153" s="18" t="s">
        <v>15</v>
      </c>
      <c r="E153" s="18" t="s">
        <v>15</v>
      </c>
      <c r="G153" s="18" t="s">
        <v>15</v>
      </c>
      <c r="I153" s="18" t="s">
        <v>15</v>
      </c>
      <c r="M153" s="18" t="s">
        <v>15</v>
      </c>
      <c r="O153" s="18" t="s">
        <v>15</v>
      </c>
      <c r="Q153" s="18" t="s">
        <v>15</v>
      </c>
      <c r="R153" s="32"/>
    </row>
    <row r="154" spans="2:18" s="18" customFormat="1" ht="13.5" customHeight="1">
      <c r="B154" s="19"/>
      <c r="R154" s="32"/>
    </row>
    <row r="155" spans="1:18" s="18" customFormat="1" ht="13.5" customHeight="1">
      <c r="A155" s="18" t="s">
        <v>13</v>
      </c>
      <c r="B155" s="19" t="s">
        <v>15</v>
      </c>
      <c r="C155" s="18" t="s">
        <v>15</v>
      </c>
      <c r="E155" s="18" t="s">
        <v>15</v>
      </c>
      <c r="G155" s="18" t="s">
        <v>15</v>
      </c>
      <c r="I155" s="18" t="s">
        <v>15</v>
      </c>
      <c r="M155" s="18" t="s">
        <v>15</v>
      </c>
      <c r="O155" s="18" t="s">
        <v>15</v>
      </c>
      <c r="Q155" s="18" t="s">
        <v>15</v>
      </c>
      <c r="R155" s="32"/>
    </row>
    <row r="156" spans="1:18" s="18" customFormat="1" ht="13.5" customHeight="1">
      <c r="A156" s="18" t="s">
        <v>278</v>
      </c>
      <c r="B156" s="19" t="s">
        <v>15</v>
      </c>
      <c r="C156" s="18">
        <v>0</v>
      </c>
      <c r="E156" s="18">
        <v>0</v>
      </c>
      <c r="G156" s="18">
        <v>4167</v>
      </c>
      <c r="I156" s="18">
        <v>583</v>
      </c>
      <c r="K156" s="18">
        <f aca="true" t="shared" si="2" ref="K156:K213">IF(SUM(C156:I156)=SUM(M156:Q156),SUM(C156:I156),SUM(M156:Q156)-SUM(C156:I156))</f>
        <v>4750</v>
      </c>
      <c r="M156" s="18">
        <v>4750</v>
      </c>
      <c r="O156" s="18">
        <v>0</v>
      </c>
      <c r="Q156" s="18">
        <v>0</v>
      </c>
      <c r="R156" s="32"/>
    </row>
    <row r="157" spans="1:18" s="18" customFormat="1" ht="13.5" customHeight="1">
      <c r="A157" s="18" t="s">
        <v>87</v>
      </c>
      <c r="B157" s="19" t="s">
        <v>15</v>
      </c>
      <c r="C157" s="18">
        <v>10514</v>
      </c>
      <c r="E157" s="18">
        <v>0</v>
      </c>
      <c r="G157" s="18">
        <v>8341</v>
      </c>
      <c r="I157" s="18">
        <v>932</v>
      </c>
      <c r="K157" s="18">
        <f t="shared" si="2"/>
        <v>19787</v>
      </c>
      <c r="M157" s="18">
        <v>8411</v>
      </c>
      <c r="O157" s="18">
        <v>9273</v>
      </c>
      <c r="Q157" s="18">
        <v>2103</v>
      </c>
      <c r="R157" s="32"/>
    </row>
    <row r="158" spans="1:18" s="18" customFormat="1" ht="13.5" customHeight="1">
      <c r="A158" s="18" t="s">
        <v>88</v>
      </c>
      <c r="B158" s="19" t="s">
        <v>15</v>
      </c>
      <c r="C158" s="18">
        <v>0</v>
      </c>
      <c r="E158" s="18">
        <v>0</v>
      </c>
      <c r="G158" s="18">
        <v>23589</v>
      </c>
      <c r="I158" s="18">
        <v>1200</v>
      </c>
      <c r="K158" s="18">
        <f t="shared" si="2"/>
        <v>24789</v>
      </c>
      <c r="M158" s="18">
        <v>3000</v>
      </c>
      <c r="O158" s="18">
        <v>21789</v>
      </c>
      <c r="Q158" s="18">
        <v>0</v>
      </c>
      <c r="R158" s="32"/>
    </row>
    <row r="159" spans="1:18" s="18" customFormat="1" ht="13.5" customHeight="1">
      <c r="A159" s="18" t="s">
        <v>198</v>
      </c>
      <c r="B159" s="19" t="s">
        <v>15</v>
      </c>
      <c r="C159" s="18">
        <v>0</v>
      </c>
      <c r="E159" s="18">
        <v>2960</v>
      </c>
      <c r="G159" s="18">
        <v>9623</v>
      </c>
      <c r="I159" s="18">
        <v>7033</v>
      </c>
      <c r="K159" s="18">
        <f t="shared" si="2"/>
        <v>19616</v>
      </c>
      <c r="M159" s="18">
        <v>3667</v>
      </c>
      <c r="O159" s="18">
        <f>15950-1</f>
        <v>15949</v>
      </c>
      <c r="Q159" s="18">
        <v>0</v>
      </c>
      <c r="R159" s="32"/>
    </row>
    <row r="160" spans="1:18" s="18" customFormat="1" ht="13.5" customHeight="1">
      <c r="A160" s="18" t="s">
        <v>89</v>
      </c>
      <c r="B160" s="19" t="s">
        <v>15</v>
      </c>
      <c r="C160" s="18">
        <v>0</v>
      </c>
      <c r="E160" s="18">
        <v>0</v>
      </c>
      <c r="G160" s="18">
        <v>4070</v>
      </c>
      <c r="I160" s="18">
        <v>0</v>
      </c>
      <c r="K160" s="18">
        <f t="shared" si="2"/>
        <v>4070</v>
      </c>
      <c r="M160" s="18">
        <v>2172</v>
      </c>
      <c r="O160" s="18">
        <v>1896</v>
      </c>
      <c r="Q160" s="18">
        <v>2</v>
      </c>
      <c r="R160" s="32"/>
    </row>
    <row r="161" spans="1:18" s="18" customFormat="1" ht="13.5" customHeight="1">
      <c r="A161" s="18" t="s">
        <v>90</v>
      </c>
      <c r="B161" s="19" t="s">
        <v>15</v>
      </c>
      <c r="C161" s="18">
        <v>0</v>
      </c>
      <c r="E161" s="18">
        <v>0</v>
      </c>
      <c r="G161" s="18">
        <v>547</v>
      </c>
      <c r="I161" s="18">
        <v>0</v>
      </c>
      <c r="K161" s="18">
        <f t="shared" si="2"/>
        <v>547</v>
      </c>
      <c r="M161" s="18">
        <v>0</v>
      </c>
      <c r="O161" s="18">
        <v>547</v>
      </c>
      <c r="Q161" s="18">
        <v>0</v>
      </c>
      <c r="R161" s="32"/>
    </row>
    <row r="162" spans="1:18" s="18" customFormat="1" ht="13.5" customHeight="1">
      <c r="A162" s="18" t="s">
        <v>91</v>
      </c>
      <c r="B162" s="19" t="s">
        <v>15</v>
      </c>
      <c r="C162" s="18">
        <v>0</v>
      </c>
      <c r="E162" s="18">
        <v>0</v>
      </c>
      <c r="G162" s="18">
        <v>7696</v>
      </c>
      <c r="I162" s="18">
        <v>0</v>
      </c>
      <c r="K162" s="18">
        <f t="shared" si="2"/>
        <v>7696</v>
      </c>
      <c r="M162" s="18">
        <v>3480</v>
      </c>
      <c r="O162" s="18">
        <v>4216</v>
      </c>
      <c r="Q162" s="18">
        <v>0</v>
      </c>
      <c r="R162" s="32"/>
    </row>
    <row r="163" spans="1:18" s="18" customFormat="1" ht="13.5" customHeight="1">
      <c r="A163" s="18" t="s">
        <v>40</v>
      </c>
      <c r="B163" s="19" t="s">
        <v>15</v>
      </c>
      <c r="C163" s="18">
        <v>46628</v>
      </c>
      <c r="E163" s="18">
        <v>99522</v>
      </c>
      <c r="G163" s="18">
        <v>9313</v>
      </c>
      <c r="I163" s="18">
        <v>8312</v>
      </c>
      <c r="K163" s="18">
        <f t="shared" si="2"/>
        <v>163775</v>
      </c>
      <c r="M163" s="18">
        <v>58191</v>
      </c>
      <c r="O163" s="18">
        <v>73764</v>
      </c>
      <c r="Q163" s="18">
        <v>31820</v>
      </c>
      <c r="R163" s="32"/>
    </row>
    <row r="164" spans="1:18" s="18" customFormat="1" ht="13.5" customHeight="1">
      <c r="A164" s="18" t="s">
        <v>201</v>
      </c>
      <c r="B164" s="18" t="s">
        <v>16</v>
      </c>
      <c r="C164" s="18">
        <v>2406</v>
      </c>
      <c r="E164" s="18">
        <v>0</v>
      </c>
      <c r="G164" s="18">
        <v>1896</v>
      </c>
      <c r="I164" s="18">
        <v>13968</v>
      </c>
      <c r="K164" s="17">
        <f t="shared" si="2"/>
        <v>18270</v>
      </c>
      <c r="M164" s="18">
        <v>0</v>
      </c>
      <c r="O164" s="18">
        <v>18270</v>
      </c>
      <c r="Q164" s="18">
        <v>0</v>
      </c>
      <c r="R164" s="32"/>
    </row>
    <row r="165" spans="1:18" s="18" customFormat="1" ht="13.5" customHeight="1">
      <c r="A165" s="18" t="s">
        <v>164</v>
      </c>
      <c r="B165" s="19" t="s">
        <v>15</v>
      </c>
      <c r="C165" s="20">
        <f>SUM(C156:C164)</f>
        <v>59548</v>
      </c>
      <c r="E165" s="20">
        <f>SUM(E156:E164)</f>
        <v>102482</v>
      </c>
      <c r="G165" s="20">
        <f>SUM(G156:G164)</f>
        <v>69242</v>
      </c>
      <c r="I165" s="20">
        <f>SUM(I156:I164)</f>
        <v>32028</v>
      </c>
      <c r="K165" s="20">
        <f t="shared" si="2"/>
        <v>263300</v>
      </c>
      <c r="M165" s="20">
        <f>SUM(M156:M164)</f>
        <v>83671</v>
      </c>
      <c r="O165" s="20">
        <f>SUM(O156:O164)</f>
        <v>145704</v>
      </c>
      <c r="Q165" s="20">
        <f>SUM(Q156:Q164)</f>
        <v>33925</v>
      </c>
      <c r="R165" s="32"/>
    </row>
    <row r="166" spans="2:18" s="18" customFormat="1" ht="13.5" customHeight="1">
      <c r="B166" s="19"/>
      <c r="C166" s="21"/>
      <c r="E166" s="21"/>
      <c r="G166" s="21"/>
      <c r="I166" s="21"/>
      <c r="M166" s="21"/>
      <c r="O166" s="21"/>
      <c r="Q166" s="21"/>
      <c r="R166" s="32"/>
    </row>
    <row r="167" spans="1:18" s="18" customFormat="1" ht="13.5" customHeight="1">
      <c r="A167" s="18" t="s">
        <v>228</v>
      </c>
      <c r="B167" s="19" t="s">
        <v>15</v>
      </c>
      <c r="C167" s="18" t="s">
        <v>15</v>
      </c>
      <c r="E167" s="18" t="s">
        <v>15</v>
      </c>
      <c r="G167" s="18" t="s">
        <v>15</v>
      </c>
      <c r="I167" s="18" t="s">
        <v>15</v>
      </c>
      <c r="M167" s="18" t="s">
        <v>15</v>
      </c>
      <c r="O167" s="18" t="s">
        <v>15</v>
      </c>
      <c r="Q167" s="18" t="s">
        <v>15</v>
      </c>
      <c r="R167" s="32"/>
    </row>
    <row r="168" spans="1:18" s="18" customFormat="1" ht="13.5" customHeight="1">
      <c r="A168" s="18" t="s">
        <v>101</v>
      </c>
      <c r="B168" s="19" t="s">
        <v>15</v>
      </c>
      <c r="C168" s="18">
        <v>0</v>
      </c>
      <c r="E168" s="18">
        <v>17178</v>
      </c>
      <c r="G168" s="18">
        <v>22398</v>
      </c>
      <c r="I168" s="18">
        <v>13212</v>
      </c>
      <c r="K168" s="18">
        <f t="shared" si="2"/>
        <v>52788</v>
      </c>
      <c r="M168" s="18">
        <v>40136</v>
      </c>
      <c r="O168" s="18">
        <v>8358</v>
      </c>
      <c r="Q168" s="18">
        <v>4294</v>
      </c>
      <c r="R168" s="32"/>
    </row>
    <row r="169" spans="1:18" s="18" customFormat="1" ht="13.5" customHeight="1">
      <c r="A169" s="18" t="s">
        <v>279</v>
      </c>
      <c r="B169" s="19"/>
      <c r="C169" s="18">
        <v>0</v>
      </c>
      <c r="E169" s="18">
        <v>0</v>
      </c>
      <c r="G169" s="18">
        <v>0</v>
      </c>
      <c r="I169" s="18">
        <v>290</v>
      </c>
      <c r="K169" s="18">
        <f t="shared" si="2"/>
        <v>290</v>
      </c>
      <c r="M169" s="18">
        <v>0</v>
      </c>
      <c r="O169" s="18">
        <v>290</v>
      </c>
      <c r="Q169" s="18">
        <v>0</v>
      </c>
      <c r="R169" s="32"/>
    </row>
    <row r="170" spans="1:18" s="18" customFormat="1" ht="13.5" customHeight="1">
      <c r="A170" s="18" t="s">
        <v>67</v>
      </c>
      <c r="B170" s="19"/>
      <c r="C170" s="18">
        <v>0</v>
      </c>
      <c r="E170" s="18">
        <v>0</v>
      </c>
      <c r="G170" s="18">
        <v>8034</v>
      </c>
      <c r="I170" s="18">
        <v>9164</v>
      </c>
      <c r="K170" s="18">
        <f t="shared" si="2"/>
        <v>17198</v>
      </c>
      <c r="M170" s="18">
        <v>10000</v>
      </c>
      <c r="O170" s="18">
        <v>7198</v>
      </c>
      <c r="Q170" s="18">
        <v>0</v>
      </c>
      <c r="R170" s="32"/>
    </row>
    <row r="171" spans="1:18" s="18" customFormat="1" ht="13.5" customHeight="1">
      <c r="A171" s="18" t="s">
        <v>41</v>
      </c>
      <c r="B171" s="19"/>
      <c r="C171" s="18">
        <v>0</v>
      </c>
      <c r="E171" s="18">
        <v>0</v>
      </c>
      <c r="G171" s="18">
        <v>0</v>
      </c>
      <c r="I171" s="18">
        <v>1543</v>
      </c>
      <c r="K171" s="18">
        <f t="shared" si="2"/>
        <v>1543</v>
      </c>
      <c r="M171" s="18">
        <v>0</v>
      </c>
      <c r="O171" s="18">
        <v>1543</v>
      </c>
      <c r="Q171" s="18">
        <v>0</v>
      </c>
      <c r="R171" s="32"/>
    </row>
    <row r="172" spans="1:18" s="18" customFormat="1" ht="13.5" customHeight="1">
      <c r="A172" s="18" t="s">
        <v>227</v>
      </c>
      <c r="B172" s="19"/>
      <c r="C172" s="18">
        <v>0</v>
      </c>
      <c r="E172" s="18">
        <v>0</v>
      </c>
      <c r="G172" s="18">
        <v>1950</v>
      </c>
      <c r="I172" s="18">
        <v>1300</v>
      </c>
      <c r="K172" s="18">
        <f t="shared" si="2"/>
        <v>3250</v>
      </c>
      <c r="M172" s="18">
        <v>3250</v>
      </c>
      <c r="O172" s="18">
        <v>0</v>
      </c>
      <c r="Q172" s="18">
        <v>0</v>
      </c>
      <c r="R172" s="32"/>
    </row>
    <row r="173" spans="1:18" s="18" customFormat="1" ht="13.5" customHeight="1">
      <c r="A173" s="18" t="s">
        <v>68</v>
      </c>
      <c r="B173" s="19" t="s">
        <v>15</v>
      </c>
      <c r="C173" s="17">
        <v>7167</v>
      </c>
      <c r="E173" s="17">
        <v>0</v>
      </c>
      <c r="G173" s="17">
        <v>1800</v>
      </c>
      <c r="I173" s="17">
        <v>3135</v>
      </c>
      <c r="K173" s="17">
        <f t="shared" si="2"/>
        <v>12102</v>
      </c>
      <c r="M173" s="17">
        <v>4620</v>
      </c>
      <c r="O173" s="17">
        <v>7482</v>
      </c>
      <c r="Q173" s="17">
        <v>0</v>
      </c>
      <c r="R173" s="32"/>
    </row>
    <row r="174" spans="1:18" s="18" customFormat="1" ht="13.5" customHeight="1">
      <c r="A174" s="18" t="s">
        <v>255</v>
      </c>
      <c r="B174" s="19" t="s">
        <v>15</v>
      </c>
      <c r="C174" s="17">
        <f>SUM(C168:C173)</f>
        <v>7167</v>
      </c>
      <c r="E174" s="17">
        <f>SUM(E168:E173)</f>
        <v>17178</v>
      </c>
      <c r="G174" s="17">
        <f>SUM(G168:G173)</f>
        <v>34182</v>
      </c>
      <c r="I174" s="17">
        <f>SUM(I168:I173)</f>
        <v>28644</v>
      </c>
      <c r="K174" s="20">
        <f t="shared" si="2"/>
        <v>87171</v>
      </c>
      <c r="M174" s="17">
        <f>SUM(M168:M173)</f>
        <v>58006</v>
      </c>
      <c r="O174" s="17">
        <f>SUM(O168:O173)</f>
        <v>24871</v>
      </c>
      <c r="Q174" s="17">
        <f>SUM(Q168:Q173)</f>
        <v>4294</v>
      </c>
      <c r="R174" s="32"/>
    </row>
    <row r="175" spans="2:18" s="18" customFormat="1" ht="13.5" customHeight="1">
      <c r="B175" s="19" t="s">
        <v>15</v>
      </c>
      <c r="R175" s="32"/>
    </row>
    <row r="176" spans="1:18" s="18" customFormat="1" ht="13.5" customHeight="1">
      <c r="A176" s="18" t="s">
        <v>14</v>
      </c>
      <c r="B176" s="19" t="s">
        <v>15</v>
      </c>
      <c r="C176" s="18" t="s">
        <v>15</v>
      </c>
      <c r="E176" s="18" t="s">
        <v>15</v>
      </c>
      <c r="G176" s="18" t="s">
        <v>15</v>
      </c>
      <c r="I176" s="18" t="s">
        <v>15</v>
      </c>
      <c r="M176" s="18" t="s">
        <v>15</v>
      </c>
      <c r="O176" s="18" t="s">
        <v>15</v>
      </c>
      <c r="Q176" s="18" t="s">
        <v>15</v>
      </c>
      <c r="R176" s="32"/>
    </row>
    <row r="177" spans="1:18" s="18" customFormat="1" ht="13.5" customHeight="1">
      <c r="A177" s="18" t="s">
        <v>92</v>
      </c>
      <c r="B177" s="19" t="s">
        <v>15</v>
      </c>
      <c r="C177" s="18">
        <v>0</v>
      </c>
      <c r="E177" s="18">
        <v>0</v>
      </c>
      <c r="G177" s="18">
        <v>744</v>
      </c>
      <c r="I177" s="18">
        <v>0</v>
      </c>
      <c r="K177" s="18">
        <f aca="true" t="shared" si="3" ref="K177:K188">IF(SUM(C177:I177)=SUM(M177:Q177),SUM(C177:I177),SUM(M177:Q177)-SUM(C177:I177))</f>
        <v>744</v>
      </c>
      <c r="M177" s="18">
        <v>584</v>
      </c>
      <c r="O177" s="18">
        <v>160</v>
      </c>
      <c r="Q177" s="18">
        <v>0</v>
      </c>
      <c r="R177" s="32"/>
    </row>
    <row r="178" spans="1:18" s="18" customFormat="1" ht="13.5" customHeight="1">
      <c r="A178" s="18" t="s">
        <v>93</v>
      </c>
      <c r="B178" s="19" t="s">
        <v>15</v>
      </c>
      <c r="C178" s="18">
        <v>120189</v>
      </c>
      <c r="E178" s="18">
        <v>0</v>
      </c>
      <c r="G178" s="18">
        <v>3500</v>
      </c>
      <c r="I178" s="18">
        <v>82621</v>
      </c>
      <c r="K178" s="18">
        <f t="shared" si="3"/>
        <v>206310</v>
      </c>
      <c r="M178" s="18">
        <v>145417</v>
      </c>
      <c r="O178" s="18">
        <v>60893</v>
      </c>
      <c r="Q178" s="18">
        <v>0</v>
      </c>
      <c r="R178" s="32"/>
    </row>
    <row r="179" spans="1:18" s="18" customFormat="1" ht="13.5" customHeight="1">
      <c r="A179" s="18" t="s">
        <v>94</v>
      </c>
      <c r="B179" s="19" t="s">
        <v>15</v>
      </c>
      <c r="C179" s="18">
        <v>0</v>
      </c>
      <c r="E179" s="18">
        <v>0</v>
      </c>
      <c r="G179" s="18">
        <v>20977</v>
      </c>
      <c r="I179" s="18">
        <v>2600</v>
      </c>
      <c r="K179" s="18">
        <f t="shared" si="3"/>
        <v>23577</v>
      </c>
      <c r="M179" s="18">
        <v>20310</v>
      </c>
      <c r="O179" s="18">
        <v>3267</v>
      </c>
      <c r="Q179" s="18">
        <v>0</v>
      </c>
      <c r="R179" s="32"/>
    </row>
    <row r="180" spans="1:18" s="18" customFormat="1" ht="13.5" customHeight="1">
      <c r="A180" s="18" t="s">
        <v>95</v>
      </c>
      <c r="B180" s="19" t="s">
        <v>15</v>
      </c>
      <c r="C180" s="18">
        <v>130132</v>
      </c>
      <c r="E180" s="18">
        <v>0</v>
      </c>
      <c r="G180" s="18">
        <v>22979</v>
      </c>
      <c r="I180" s="18">
        <v>15891</v>
      </c>
      <c r="K180" s="18">
        <f t="shared" si="3"/>
        <v>169002</v>
      </c>
      <c r="M180" s="18">
        <v>153291</v>
      </c>
      <c r="O180" s="18">
        <v>15711</v>
      </c>
      <c r="Q180" s="18">
        <v>0</v>
      </c>
      <c r="R180" s="32"/>
    </row>
    <row r="181" spans="1:18" s="18" customFormat="1" ht="13.5" customHeight="1">
      <c r="A181" s="18" t="s">
        <v>96</v>
      </c>
      <c r="B181" s="19" t="s">
        <v>15</v>
      </c>
      <c r="C181" s="18">
        <v>188413</v>
      </c>
      <c r="E181" s="18">
        <v>91095</v>
      </c>
      <c r="G181" s="18">
        <v>263154</v>
      </c>
      <c r="I181" s="18">
        <v>25738</v>
      </c>
      <c r="K181" s="18">
        <f t="shared" si="3"/>
        <v>568400</v>
      </c>
      <c r="M181" s="18">
        <v>366766</v>
      </c>
      <c r="O181" s="18">
        <f>104591+1</f>
        <v>104592</v>
      </c>
      <c r="Q181" s="18">
        <v>97042</v>
      </c>
      <c r="R181" s="32"/>
    </row>
    <row r="182" spans="1:18" s="18" customFormat="1" ht="13.5" customHeight="1">
      <c r="A182" s="18" t="s">
        <v>49</v>
      </c>
      <c r="B182" s="19" t="s">
        <v>15</v>
      </c>
      <c r="C182" s="18">
        <v>0</v>
      </c>
      <c r="E182" s="18">
        <v>0</v>
      </c>
      <c r="G182" s="18">
        <v>5900</v>
      </c>
      <c r="I182" s="18">
        <v>2100</v>
      </c>
      <c r="K182" s="18">
        <f t="shared" si="3"/>
        <v>8000</v>
      </c>
      <c r="M182" s="18">
        <v>8000</v>
      </c>
      <c r="O182" s="18">
        <v>0</v>
      </c>
      <c r="Q182" s="18">
        <v>0</v>
      </c>
      <c r="R182" s="32"/>
    </row>
    <row r="183" spans="1:18" s="18" customFormat="1" ht="13.5" customHeight="1">
      <c r="A183" s="18" t="s">
        <v>41</v>
      </c>
      <c r="B183" s="19" t="s">
        <v>15</v>
      </c>
      <c r="C183" s="18">
        <v>88387</v>
      </c>
      <c r="E183" s="18">
        <v>0</v>
      </c>
      <c r="G183" s="18">
        <v>0</v>
      </c>
      <c r="I183" s="18">
        <v>0</v>
      </c>
      <c r="K183" s="18">
        <f t="shared" si="3"/>
        <v>88387</v>
      </c>
      <c r="M183" s="18">
        <v>34631</v>
      </c>
      <c r="O183" s="18">
        <v>45360</v>
      </c>
      <c r="Q183" s="18">
        <v>8396</v>
      </c>
      <c r="R183" s="32"/>
    </row>
    <row r="184" spans="1:18" s="18" customFormat="1" ht="13.5" customHeight="1">
      <c r="A184" s="18" t="s">
        <v>50</v>
      </c>
      <c r="B184" s="19" t="s">
        <v>15</v>
      </c>
      <c r="C184" s="18">
        <v>198847</v>
      </c>
      <c r="E184" s="18">
        <v>1373793</v>
      </c>
      <c r="G184" s="18">
        <v>99893</v>
      </c>
      <c r="I184" s="18">
        <v>12303</v>
      </c>
      <c r="K184" s="18">
        <f t="shared" si="3"/>
        <v>1684836</v>
      </c>
      <c r="M184" s="18">
        <v>1007015</v>
      </c>
      <c r="O184" s="18">
        <v>312216</v>
      </c>
      <c r="Q184" s="18">
        <v>365605</v>
      </c>
      <c r="R184" s="32"/>
    </row>
    <row r="185" spans="1:18" s="18" customFormat="1" ht="13.5" customHeight="1">
      <c r="A185" s="18" t="s">
        <v>51</v>
      </c>
      <c r="B185" s="19"/>
      <c r="C185" s="18">
        <v>81978</v>
      </c>
      <c r="E185" s="18">
        <v>0</v>
      </c>
      <c r="G185" s="18">
        <v>250</v>
      </c>
      <c r="I185" s="18">
        <v>0</v>
      </c>
      <c r="K185" s="18">
        <f t="shared" si="3"/>
        <v>82228</v>
      </c>
      <c r="M185" s="18">
        <v>80978</v>
      </c>
      <c r="O185" s="18">
        <v>1250</v>
      </c>
      <c r="Q185" s="18">
        <v>0</v>
      </c>
      <c r="R185" s="32"/>
    </row>
    <row r="186" spans="1:18" s="18" customFormat="1" ht="13.5" customHeight="1">
      <c r="A186" s="18" t="s">
        <v>52</v>
      </c>
      <c r="B186" s="19" t="s">
        <v>15</v>
      </c>
      <c r="C186" s="18">
        <v>30160</v>
      </c>
      <c r="E186" s="18">
        <v>42061</v>
      </c>
      <c r="G186" s="18">
        <v>0</v>
      </c>
      <c r="I186" s="18">
        <v>9713</v>
      </c>
      <c r="K186" s="18">
        <f t="shared" si="3"/>
        <v>81934</v>
      </c>
      <c r="M186" s="18">
        <v>51824</v>
      </c>
      <c r="O186" s="18">
        <v>16662</v>
      </c>
      <c r="Q186" s="18">
        <v>13448</v>
      </c>
      <c r="R186" s="32"/>
    </row>
    <row r="187" spans="1:18" s="18" customFormat="1" ht="13.5" customHeight="1">
      <c r="A187" s="18" t="s">
        <v>53</v>
      </c>
      <c r="B187" s="19" t="s">
        <v>15</v>
      </c>
      <c r="C187" s="18">
        <v>385056</v>
      </c>
      <c r="E187" s="18">
        <v>138624</v>
      </c>
      <c r="G187" s="18">
        <v>47807</v>
      </c>
      <c r="I187" s="18">
        <v>11191</v>
      </c>
      <c r="K187" s="18">
        <f t="shared" si="3"/>
        <v>582678</v>
      </c>
      <c r="M187" s="18">
        <v>344638</v>
      </c>
      <c r="O187" s="18">
        <v>110239</v>
      </c>
      <c r="Q187" s="18">
        <v>127801</v>
      </c>
      <c r="R187" s="32"/>
    </row>
    <row r="188" spans="1:18" s="18" customFormat="1" ht="13.5" customHeight="1">
      <c r="A188" s="18" t="s">
        <v>97</v>
      </c>
      <c r="B188" s="19" t="s">
        <v>15</v>
      </c>
      <c r="C188" s="17">
        <v>47284</v>
      </c>
      <c r="E188" s="17">
        <v>370782</v>
      </c>
      <c r="G188" s="18">
        <v>51561</v>
      </c>
      <c r="I188" s="17">
        <v>2409</v>
      </c>
      <c r="K188" s="17">
        <f t="shared" si="3"/>
        <v>472036</v>
      </c>
      <c r="M188" s="17">
        <v>228815</v>
      </c>
      <c r="O188" s="17">
        <v>133800</v>
      </c>
      <c r="Q188" s="17">
        <v>109421</v>
      </c>
      <c r="R188" s="32"/>
    </row>
    <row r="189" spans="1:18" s="18" customFormat="1" ht="13.5" customHeight="1">
      <c r="A189" s="18" t="s">
        <v>174</v>
      </c>
      <c r="B189" s="19" t="s">
        <v>15</v>
      </c>
      <c r="C189" s="17">
        <f>SUM(C177:C188)</f>
        <v>1270446</v>
      </c>
      <c r="E189" s="17">
        <f>SUM(E177:E188)</f>
        <v>2016355</v>
      </c>
      <c r="G189" s="20">
        <f>SUM(G177:G188)</f>
        <v>516765</v>
      </c>
      <c r="I189" s="17">
        <f>SUM(I177:I188)</f>
        <v>164566</v>
      </c>
      <c r="K189" s="20">
        <f t="shared" si="2"/>
        <v>3968132</v>
      </c>
      <c r="M189" s="17">
        <f>SUM(M177:M188)</f>
        <v>2442269</v>
      </c>
      <c r="O189" s="17">
        <f>SUM(O177:O188)</f>
        <v>804150</v>
      </c>
      <c r="Q189" s="17">
        <f>SUM(Q177:Q188)</f>
        <v>721713</v>
      </c>
      <c r="R189" s="32"/>
    </row>
    <row r="190" spans="2:18" s="18" customFormat="1" ht="13.5" customHeight="1">
      <c r="B190" s="19" t="s">
        <v>15</v>
      </c>
      <c r="R190" s="32"/>
    </row>
    <row r="191" spans="1:18" s="18" customFormat="1" ht="13.5" customHeight="1">
      <c r="A191" s="18" t="s">
        <v>17</v>
      </c>
      <c r="B191" s="19" t="s">
        <v>15</v>
      </c>
      <c r="C191" s="18" t="s">
        <v>15</v>
      </c>
      <c r="E191" s="18" t="s">
        <v>15</v>
      </c>
      <c r="G191" s="18" t="s">
        <v>15</v>
      </c>
      <c r="I191" s="18" t="s">
        <v>15</v>
      </c>
      <c r="M191" s="18" t="s">
        <v>15</v>
      </c>
      <c r="O191" s="18" t="s">
        <v>15</v>
      </c>
      <c r="Q191" s="18" t="s">
        <v>15</v>
      </c>
      <c r="R191" s="32"/>
    </row>
    <row r="192" spans="1:18" s="18" customFormat="1" ht="13.5" customHeight="1">
      <c r="A192" s="18" t="s">
        <v>98</v>
      </c>
      <c r="B192" s="19" t="s">
        <v>15</v>
      </c>
      <c r="C192" s="18">
        <v>2905033</v>
      </c>
      <c r="E192" s="18">
        <v>0</v>
      </c>
      <c r="G192" s="18">
        <v>30683</v>
      </c>
      <c r="I192" s="18">
        <v>433446</v>
      </c>
      <c r="K192" s="18">
        <f t="shared" si="2"/>
        <v>3369162</v>
      </c>
      <c r="M192" s="18">
        <v>1517132</v>
      </c>
      <c r="O192" s="18">
        <v>1471229</v>
      </c>
      <c r="Q192" s="18">
        <v>380801</v>
      </c>
      <c r="R192" s="32"/>
    </row>
    <row r="193" spans="1:18" s="18" customFormat="1" ht="13.5" customHeight="1">
      <c r="A193" s="18" t="s">
        <v>54</v>
      </c>
      <c r="B193" s="19" t="s">
        <v>15</v>
      </c>
      <c r="C193" s="18">
        <v>513372</v>
      </c>
      <c r="E193" s="18">
        <v>8307965</v>
      </c>
      <c r="G193" s="18">
        <v>890730</v>
      </c>
      <c r="I193" s="18">
        <v>607334</v>
      </c>
      <c r="K193" s="18">
        <f t="shared" si="2"/>
        <v>10319401</v>
      </c>
      <c r="M193" s="18">
        <v>3422017</v>
      </c>
      <c r="O193" s="18">
        <v>4941638</v>
      </c>
      <c r="Q193" s="18">
        <v>1955746</v>
      </c>
      <c r="R193" s="32"/>
    </row>
    <row r="194" spans="1:18" s="18" customFormat="1" ht="13.5" customHeight="1">
      <c r="A194" s="18" t="s">
        <v>55</v>
      </c>
      <c r="B194" s="19" t="s">
        <v>15</v>
      </c>
      <c r="C194" s="18">
        <v>172101</v>
      </c>
      <c r="E194" s="18">
        <v>3208897</v>
      </c>
      <c r="G194" s="18">
        <v>860441</v>
      </c>
      <c r="I194" s="18">
        <v>1398412</v>
      </c>
      <c r="K194" s="18">
        <f t="shared" si="2"/>
        <v>5639851</v>
      </c>
      <c r="M194" s="18">
        <v>2258070</v>
      </c>
      <c r="O194" s="18">
        <v>2360503</v>
      </c>
      <c r="Q194" s="18">
        <v>1021278</v>
      </c>
      <c r="R194" s="32"/>
    </row>
    <row r="195" spans="1:18" s="18" customFormat="1" ht="13.5" customHeight="1">
      <c r="A195" s="18" t="s">
        <v>56</v>
      </c>
      <c r="B195" s="19" t="s">
        <v>15</v>
      </c>
      <c r="C195" s="18">
        <v>11330</v>
      </c>
      <c r="E195" s="18">
        <v>866257</v>
      </c>
      <c r="G195" s="18">
        <v>75983</v>
      </c>
      <c r="I195" s="18">
        <v>15498</v>
      </c>
      <c r="K195" s="18">
        <f t="shared" si="2"/>
        <v>969068</v>
      </c>
      <c r="M195" s="18">
        <v>576607</v>
      </c>
      <c r="O195" s="18">
        <f>93747-1</f>
        <v>93746</v>
      </c>
      <c r="Q195" s="18">
        <v>298715</v>
      </c>
      <c r="R195" s="32"/>
    </row>
    <row r="196" spans="1:18" s="18" customFormat="1" ht="13.5" customHeight="1">
      <c r="A196" s="18" t="s">
        <v>57</v>
      </c>
      <c r="B196" s="19" t="s">
        <v>15</v>
      </c>
      <c r="C196" s="18">
        <v>103384</v>
      </c>
      <c r="E196" s="18">
        <v>713044</v>
      </c>
      <c r="G196" s="18">
        <v>157157</v>
      </c>
      <c r="I196" s="18">
        <v>89886</v>
      </c>
      <c r="K196" s="18">
        <f t="shared" si="2"/>
        <v>1063471</v>
      </c>
      <c r="M196" s="18">
        <v>494992</v>
      </c>
      <c r="O196" s="18">
        <f>354161+1</f>
        <v>354162</v>
      </c>
      <c r="Q196" s="18">
        <v>214317</v>
      </c>
      <c r="R196" s="32"/>
    </row>
    <row r="197" spans="1:18" s="18" customFormat="1" ht="13.5" customHeight="1">
      <c r="A197" s="18" t="s">
        <v>41</v>
      </c>
      <c r="B197" s="19" t="s">
        <v>15</v>
      </c>
      <c r="C197" s="18">
        <v>109726</v>
      </c>
      <c r="E197" s="18">
        <v>0</v>
      </c>
      <c r="G197" s="18">
        <v>9676</v>
      </c>
      <c r="I197" s="18">
        <v>31700</v>
      </c>
      <c r="K197" s="18">
        <f t="shared" si="2"/>
        <v>151102</v>
      </c>
      <c r="M197" s="18">
        <v>71344</v>
      </c>
      <c r="O197" s="18">
        <f>79757+1</f>
        <v>79758</v>
      </c>
      <c r="Q197" s="18">
        <v>0</v>
      </c>
      <c r="R197" s="32"/>
    </row>
    <row r="198" spans="1:18" s="18" customFormat="1" ht="13.5" customHeight="1">
      <c r="A198" s="18" t="s">
        <v>58</v>
      </c>
      <c r="B198" s="19" t="s">
        <v>15</v>
      </c>
      <c r="C198" s="17">
        <v>360897</v>
      </c>
      <c r="E198" s="17">
        <v>4270652</v>
      </c>
      <c r="G198" s="17">
        <v>1065009</v>
      </c>
      <c r="I198" s="17">
        <v>396561</v>
      </c>
      <c r="K198" s="17">
        <f t="shared" si="2"/>
        <v>6093119</v>
      </c>
      <c r="M198" s="17">
        <v>3223770</v>
      </c>
      <c r="O198" s="17">
        <f>1566952-1</f>
        <v>1566951</v>
      </c>
      <c r="Q198" s="17">
        <v>1302398</v>
      </c>
      <c r="R198" s="32"/>
    </row>
    <row r="199" spans="1:18" s="18" customFormat="1" ht="13.5" customHeight="1">
      <c r="A199" s="18" t="s">
        <v>166</v>
      </c>
      <c r="B199" s="19" t="s">
        <v>15</v>
      </c>
      <c r="C199" s="17">
        <f>SUM(C192:C198)</f>
        <v>4175843</v>
      </c>
      <c r="E199" s="17">
        <f>SUM(E192:E198)</f>
        <v>17366815</v>
      </c>
      <c r="G199" s="17">
        <f>SUM(G192:G198)</f>
        <v>3089679</v>
      </c>
      <c r="I199" s="17">
        <f>SUM(I192:I198)</f>
        <v>2972837</v>
      </c>
      <c r="K199" s="20">
        <f t="shared" si="2"/>
        <v>27605174</v>
      </c>
      <c r="M199" s="17">
        <f>SUM(M192:M198)</f>
        <v>11563932</v>
      </c>
      <c r="O199" s="17">
        <f>SUM(O192:O198)</f>
        <v>10867987</v>
      </c>
      <c r="Q199" s="17">
        <f>SUM(Q192:Q198)</f>
        <v>5173255</v>
      </c>
      <c r="R199" s="32"/>
    </row>
    <row r="200" spans="2:18" s="18" customFormat="1" ht="13.5" customHeight="1">
      <c r="B200" s="19" t="s">
        <v>15</v>
      </c>
      <c r="R200" s="32"/>
    </row>
    <row r="201" spans="1:18" s="18" customFormat="1" ht="13.5" customHeight="1">
      <c r="A201" s="18" t="s">
        <v>18</v>
      </c>
      <c r="B201" s="19" t="s">
        <v>15</v>
      </c>
      <c r="C201" s="18" t="s">
        <v>15</v>
      </c>
      <c r="E201" s="18" t="s">
        <v>15</v>
      </c>
      <c r="G201" s="18" t="s">
        <v>15</v>
      </c>
      <c r="I201" s="18" t="s">
        <v>15</v>
      </c>
      <c r="M201" s="18" t="s">
        <v>15</v>
      </c>
      <c r="O201" s="18" t="s">
        <v>15</v>
      </c>
      <c r="Q201" s="18" t="s">
        <v>15</v>
      </c>
      <c r="R201" s="32"/>
    </row>
    <row r="202" spans="1:18" s="18" customFormat="1" ht="13.5" customHeight="1">
      <c r="A202" s="18" t="s">
        <v>99</v>
      </c>
      <c r="B202" s="19" t="s">
        <v>15</v>
      </c>
      <c r="C202" s="18">
        <v>0</v>
      </c>
      <c r="E202" s="18">
        <v>0</v>
      </c>
      <c r="G202" s="18">
        <v>1853</v>
      </c>
      <c r="I202" s="18">
        <v>1376</v>
      </c>
      <c r="K202" s="18">
        <f t="shared" si="2"/>
        <v>3229</v>
      </c>
      <c r="M202" s="18">
        <v>1000</v>
      </c>
      <c r="O202" s="18">
        <f>2228+1</f>
        <v>2229</v>
      </c>
      <c r="Q202" s="18">
        <v>0</v>
      </c>
      <c r="R202" s="32"/>
    </row>
    <row r="203" spans="1:18" s="18" customFormat="1" ht="13.5" customHeight="1">
      <c r="A203" s="18" t="s">
        <v>289</v>
      </c>
      <c r="B203" s="19" t="s">
        <v>15</v>
      </c>
      <c r="C203" s="18">
        <v>18825</v>
      </c>
      <c r="E203" s="18">
        <v>0</v>
      </c>
      <c r="G203" s="18">
        <v>0</v>
      </c>
      <c r="I203" s="18">
        <v>0</v>
      </c>
      <c r="K203" s="18">
        <f t="shared" si="2"/>
        <v>18825</v>
      </c>
      <c r="M203" s="18">
        <v>12272</v>
      </c>
      <c r="O203" s="18">
        <v>3485</v>
      </c>
      <c r="Q203" s="18">
        <v>3068</v>
      </c>
      <c r="R203" s="32"/>
    </row>
    <row r="204" spans="1:18" s="18" customFormat="1" ht="13.5" customHeight="1">
      <c r="A204" s="18" t="s">
        <v>60</v>
      </c>
      <c r="B204" s="19" t="s">
        <v>15</v>
      </c>
      <c r="C204" s="18">
        <v>423797</v>
      </c>
      <c r="E204" s="18">
        <v>26277</v>
      </c>
      <c r="G204" s="18">
        <v>4367</v>
      </c>
      <c r="I204" s="18">
        <v>39455</v>
      </c>
      <c r="K204" s="18">
        <f t="shared" si="2"/>
        <v>493896</v>
      </c>
      <c r="M204" s="18">
        <v>313074</v>
      </c>
      <c r="O204" s="18">
        <f>110438-1</f>
        <v>110437</v>
      </c>
      <c r="Q204" s="18">
        <v>70385</v>
      </c>
      <c r="R204" s="32"/>
    </row>
    <row r="205" spans="1:18" s="18" customFormat="1" ht="13.5" customHeight="1">
      <c r="A205" s="18" t="s">
        <v>62</v>
      </c>
      <c r="B205" s="19" t="s">
        <v>15</v>
      </c>
      <c r="C205" s="18">
        <v>0</v>
      </c>
      <c r="E205" s="18">
        <v>0</v>
      </c>
      <c r="G205" s="18">
        <v>7364</v>
      </c>
      <c r="I205" s="18">
        <v>4047</v>
      </c>
      <c r="K205" s="18">
        <f t="shared" si="2"/>
        <v>11411</v>
      </c>
      <c r="M205" s="18">
        <v>6880</v>
      </c>
      <c r="O205" s="18">
        <f>4532-1</f>
        <v>4531</v>
      </c>
      <c r="Q205" s="18">
        <v>0</v>
      </c>
      <c r="R205" s="32"/>
    </row>
    <row r="206" spans="1:18" s="18" customFormat="1" ht="13.5" customHeight="1">
      <c r="A206" s="18" t="s">
        <v>206</v>
      </c>
      <c r="B206" s="19" t="s">
        <v>15</v>
      </c>
      <c r="C206" s="18">
        <v>8014</v>
      </c>
      <c r="E206" s="18">
        <v>323097</v>
      </c>
      <c r="G206" s="18">
        <v>95662</v>
      </c>
      <c r="I206" s="18">
        <v>138081</v>
      </c>
      <c r="K206" s="18">
        <f t="shared" si="2"/>
        <v>564854</v>
      </c>
      <c r="M206" s="18">
        <v>238449</v>
      </c>
      <c r="O206" s="18">
        <f>238663-1</f>
        <v>238662</v>
      </c>
      <c r="Q206" s="18">
        <v>87743</v>
      </c>
      <c r="R206" s="32"/>
    </row>
    <row r="207" spans="1:18" s="21" customFormat="1" ht="13.5" customHeight="1">
      <c r="A207" s="21" t="s">
        <v>41</v>
      </c>
      <c r="B207" s="22" t="s">
        <v>15</v>
      </c>
      <c r="C207" s="21">
        <v>0</v>
      </c>
      <c r="E207" s="21">
        <v>0</v>
      </c>
      <c r="G207" s="21">
        <v>3438</v>
      </c>
      <c r="I207" s="21">
        <v>21162</v>
      </c>
      <c r="K207" s="18">
        <f t="shared" si="2"/>
        <v>24600</v>
      </c>
      <c r="M207" s="21">
        <v>22553</v>
      </c>
      <c r="O207" s="21">
        <f>2048-1</f>
        <v>2047</v>
      </c>
      <c r="Q207" s="21">
        <v>0</v>
      </c>
      <c r="R207" s="33"/>
    </row>
    <row r="208" spans="1:18" s="21" customFormat="1" ht="13.5" customHeight="1">
      <c r="A208" s="21" t="s">
        <v>269</v>
      </c>
      <c r="B208" s="22"/>
      <c r="C208" s="21">
        <v>0</v>
      </c>
      <c r="E208" s="21">
        <v>0</v>
      </c>
      <c r="G208" s="21">
        <v>11560</v>
      </c>
      <c r="I208" s="21">
        <v>0</v>
      </c>
      <c r="K208" s="18">
        <f t="shared" si="2"/>
        <v>11560</v>
      </c>
      <c r="M208" s="21">
        <v>10400</v>
      </c>
      <c r="O208" s="21">
        <v>1160</v>
      </c>
      <c r="Q208" s="21">
        <v>0</v>
      </c>
      <c r="R208" s="33"/>
    </row>
    <row r="209" spans="1:18" s="21" customFormat="1" ht="13.5" customHeight="1">
      <c r="A209" s="21" t="s">
        <v>64</v>
      </c>
      <c r="B209" s="22"/>
      <c r="C209" s="21">
        <v>4038</v>
      </c>
      <c r="E209" s="21">
        <v>0</v>
      </c>
      <c r="G209" s="21">
        <v>0</v>
      </c>
      <c r="I209" s="21">
        <v>0</v>
      </c>
      <c r="K209" s="18">
        <f>IF(SUM(C209:I209)=SUM(M209:Q209),SUM(C209:I209),SUM(M209:Q209)-SUM(C209:I209))</f>
        <v>4038</v>
      </c>
      <c r="M209" s="21">
        <v>0</v>
      </c>
      <c r="O209" s="21">
        <v>4038</v>
      </c>
      <c r="Q209" s="21">
        <v>0</v>
      </c>
      <c r="R209" s="33"/>
    </row>
    <row r="210" spans="1:18" s="18" customFormat="1" ht="13.5" customHeight="1">
      <c r="A210" s="18" t="s">
        <v>203</v>
      </c>
      <c r="B210" s="19"/>
      <c r="C210" s="17">
        <v>1956</v>
      </c>
      <c r="E210" s="17">
        <v>0</v>
      </c>
      <c r="G210" s="17">
        <v>0</v>
      </c>
      <c r="I210" s="17">
        <v>0</v>
      </c>
      <c r="K210" s="17">
        <f t="shared" si="2"/>
        <v>1956</v>
      </c>
      <c r="M210" s="18">
        <v>0</v>
      </c>
      <c r="O210" s="17">
        <v>1956</v>
      </c>
      <c r="Q210" s="18">
        <v>0</v>
      </c>
      <c r="R210" s="32"/>
    </row>
    <row r="211" spans="1:18" s="18" customFormat="1" ht="13.5" customHeight="1">
      <c r="A211" s="18" t="s">
        <v>167</v>
      </c>
      <c r="B211" s="19" t="s">
        <v>15</v>
      </c>
      <c r="C211" s="17">
        <f>SUM(C202:C210)</f>
        <v>456630</v>
      </c>
      <c r="E211" s="17">
        <f>SUM(E202:E210)</f>
        <v>349374</v>
      </c>
      <c r="G211" s="17">
        <f>SUM(G202:G210)</f>
        <v>124244</v>
      </c>
      <c r="I211" s="17">
        <f>SUM(I202:I210)</f>
        <v>204121</v>
      </c>
      <c r="K211" s="20">
        <f t="shared" si="2"/>
        <v>1134369</v>
      </c>
      <c r="M211" s="20">
        <f>SUM(M202:M210)</f>
        <v>604628</v>
      </c>
      <c r="O211" s="17">
        <f>SUM(O202:O210)</f>
        <v>368545</v>
      </c>
      <c r="Q211" s="20">
        <f>SUM(Q202:Q210)</f>
        <v>161196</v>
      </c>
      <c r="R211" s="32"/>
    </row>
    <row r="212" spans="2:18" s="18" customFormat="1" ht="13.5" customHeight="1">
      <c r="B212" s="19" t="s">
        <v>15</v>
      </c>
      <c r="R212" s="32"/>
    </row>
    <row r="213" spans="1:18" s="18" customFormat="1" ht="13.5" customHeight="1">
      <c r="A213" s="18" t="s">
        <v>209</v>
      </c>
      <c r="B213" s="19" t="s">
        <v>15</v>
      </c>
      <c r="C213" s="17">
        <v>890787</v>
      </c>
      <c r="E213" s="17">
        <v>34291</v>
      </c>
      <c r="G213" s="17">
        <v>106868</v>
      </c>
      <c r="I213" s="17">
        <v>57100</v>
      </c>
      <c r="K213" s="17">
        <f t="shared" si="2"/>
        <v>1089046</v>
      </c>
      <c r="M213" s="17">
        <v>359337</v>
      </c>
      <c r="O213" s="17">
        <f>543472-1</f>
        <v>543471</v>
      </c>
      <c r="Q213" s="17">
        <v>186238</v>
      </c>
      <c r="R213" s="32"/>
    </row>
    <row r="214" spans="2:18" s="18" customFormat="1" ht="13.5" customHeight="1">
      <c r="B214" s="19"/>
      <c r="C214" s="21"/>
      <c r="E214" s="21"/>
      <c r="G214" s="21"/>
      <c r="I214" s="21"/>
      <c r="M214" s="21"/>
      <c r="O214" s="21"/>
      <c r="Q214" s="21"/>
      <c r="R214" s="32"/>
    </row>
    <row r="215" spans="1:18" s="18" customFormat="1" ht="13.5" customHeight="1">
      <c r="A215" s="18" t="s">
        <v>100</v>
      </c>
      <c r="B215" s="19"/>
      <c r="C215" s="17">
        <v>534748</v>
      </c>
      <c r="E215" s="17">
        <v>332497</v>
      </c>
      <c r="G215" s="17">
        <v>224371</v>
      </c>
      <c r="I215" s="17">
        <v>6202</v>
      </c>
      <c r="K215" s="17">
        <f aca="true" t="shared" si="4" ref="K215:K277">IF(SUM(C215:I215)=SUM(M215:Q215),SUM(C215:I215),SUM(M215:Q215)-SUM(C215:I215))</f>
        <v>1097818</v>
      </c>
      <c r="M215" s="17">
        <v>462921</v>
      </c>
      <c r="O215" s="17">
        <f>522206-1</f>
        <v>522205</v>
      </c>
      <c r="Q215" s="17">
        <v>112692</v>
      </c>
      <c r="R215" s="32"/>
    </row>
    <row r="216" spans="2:18" s="18" customFormat="1" ht="13.5" customHeight="1">
      <c r="B216" s="19"/>
      <c r="C216" s="21"/>
      <c r="E216" s="21"/>
      <c r="G216" s="21"/>
      <c r="I216" s="21"/>
      <c r="M216" s="21"/>
      <c r="O216" s="21"/>
      <c r="Q216" s="21"/>
      <c r="R216" s="32"/>
    </row>
    <row r="217" spans="1:18" s="18" customFormat="1" ht="13.5" customHeight="1">
      <c r="A217" s="18" t="s">
        <v>212</v>
      </c>
      <c r="B217" s="19"/>
      <c r="C217" s="17">
        <v>308924</v>
      </c>
      <c r="E217" s="17">
        <v>535069</v>
      </c>
      <c r="G217" s="17">
        <v>507258</v>
      </c>
      <c r="I217" s="17">
        <v>80279</v>
      </c>
      <c r="K217" s="17">
        <f t="shared" si="4"/>
        <v>1431530</v>
      </c>
      <c r="M217" s="17">
        <v>754917</v>
      </c>
      <c r="O217" s="17">
        <v>347244</v>
      </c>
      <c r="Q217" s="17">
        <v>329369</v>
      </c>
      <c r="R217" s="32"/>
    </row>
    <row r="218" spans="2:18" s="18" customFormat="1" ht="13.5" customHeight="1">
      <c r="B218" s="19" t="s">
        <v>15</v>
      </c>
      <c r="R218" s="32"/>
    </row>
    <row r="219" spans="1:18" s="18" customFormat="1" ht="13.5" customHeight="1">
      <c r="A219" s="18" t="s">
        <v>218</v>
      </c>
      <c r="B219" s="19" t="s">
        <v>15</v>
      </c>
      <c r="C219" s="18" t="s">
        <v>15</v>
      </c>
      <c r="E219" s="18" t="s">
        <v>15</v>
      </c>
      <c r="G219" s="18" t="s">
        <v>15</v>
      </c>
      <c r="I219" s="18" t="s">
        <v>15</v>
      </c>
      <c r="M219" s="18" t="s">
        <v>15</v>
      </c>
      <c r="O219" s="18" t="s">
        <v>15</v>
      </c>
      <c r="Q219" s="18" t="s">
        <v>15</v>
      </c>
      <c r="R219" s="32"/>
    </row>
    <row r="220" spans="1:18" s="18" customFormat="1" ht="13.5" customHeight="1">
      <c r="A220" s="18" t="s">
        <v>162</v>
      </c>
      <c r="B220" s="19" t="s">
        <v>15</v>
      </c>
      <c r="C220" s="18">
        <v>234648</v>
      </c>
      <c r="E220" s="18">
        <v>0</v>
      </c>
      <c r="G220" s="18">
        <v>15940</v>
      </c>
      <c r="I220" s="18">
        <v>9268</v>
      </c>
      <c r="K220" s="18">
        <f t="shared" si="4"/>
        <v>259856</v>
      </c>
      <c r="M220" s="18">
        <v>190242</v>
      </c>
      <c r="O220" s="18">
        <v>29081</v>
      </c>
      <c r="Q220" s="18">
        <v>40533</v>
      </c>
      <c r="R220" s="32"/>
    </row>
    <row r="221" spans="1:18" s="18" customFormat="1" ht="13.5" customHeight="1">
      <c r="A221" s="18" t="s">
        <v>175</v>
      </c>
      <c r="B221" s="19" t="s">
        <v>15</v>
      </c>
      <c r="C221" s="18">
        <v>15153</v>
      </c>
      <c r="E221" s="18">
        <v>62469</v>
      </c>
      <c r="G221" s="18">
        <v>61740</v>
      </c>
      <c r="I221" s="18">
        <v>28415</v>
      </c>
      <c r="K221" s="18">
        <f t="shared" si="4"/>
        <v>167777</v>
      </c>
      <c r="M221" s="18">
        <v>120810</v>
      </c>
      <c r="O221" s="18">
        <v>19494</v>
      </c>
      <c r="Q221" s="18">
        <v>27473</v>
      </c>
      <c r="R221" s="32"/>
    </row>
    <row r="222" spans="1:18" s="18" customFormat="1" ht="13.5" customHeight="1">
      <c r="A222" s="18" t="s">
        <v>163</v>
      </c>
      <c r="B222" s="19" t="s">
        <v>15</v>
      </c>
      <c r="C222" s="18">
        <v>197523</v>
      </c>
      <c r="E222" s="18">
        <v>55916</v>
      </c>
      <c r="G222" s="18">
        <v>64170</v>
      </c>
      <c r="I222" s="18">
        <v>39867</v>
      </c>
      <c r="K222" s="18">
        <f t="shared" si="4"/>
        <v>357476</v>
      </c>
      <c r="M222" s="18">
        <v>251764</v>
      </c>
      <c r="O222" s="18">
        <v>52468</v>
      </c>
      <c r="Q222" s="18">
        <v>53244</v>
      </c>
      <c r="R222" s="32"/>
    </row>
    <row r="223" spans="1:18" s="18" customFormat="1" ht="13.5" customHeight="1">
      <c r="A223" s="18" t="s">
        <v>176</v>
      </c>
      <c r="B223" s="19" t="s">
        <v>15</v>
      </c>
      <c r="C223" s="18">
        <v>124186</v>
      </c>
      <c r="E223" s="18">
        <v>331429</v>
      </c>
      <c r="G223" s="18">
        <v>568336</v>
      </c>
      <c r="I223" s="18">
        <v>17781</v>
      </c>
      <c r="K223" s="18">
        <f t="shared" si="4"/>
        <v>1041732</v>
      </c>
      <c r="M223" s="18">
        <v>592714</v>
      </c>
      <c r="O223" s="18">
        <f>189640-1</f>
        <v>189639</v>
      </c>
      <c r="Q223" s="18">
        <v>259379</v>
      </c>
      <c r="R223" s="32"/>
    </row>
    <row r="224" spans="1:18" s="18" customFormat="1" ht="13.5" customHeight="1">
      <c r="A224" s="18" t="s">
        <v>177</v>
      </c>
      <c r="B224" s="19" t="s">
        <v>15</v>
      </c>
      <c r="C224" s="18">
        <v>0</v>
      </c>
      <c r="E224" s="18">
        <v>18964</v>
      </c>
      <c r="G224" s="18">
        <v>152689</v>
      </c>
      <c r="I224" s="18">
        <v>23505</v>
      </c>
      <c r="K224" s="18">
        <f t="shared" si="4"/>
        <v>195158</v>
      </c>
      <c r="M224" s="18">
        <v>142539</v>
      </c>
      <c r="O224" s="18">
        <v>51434</v>
      </c>
      <c r="Q224" s="18">
        <v>1185</v>
      </c>
      <c r="R224" s="32"/>
    </row>
    <row r="225" spans="1:18" s="18" customFormat="1" ht="13.5" customHeight="1">
      <c r="A225" s="18" t="s">
        <v>178</v>
      </c>
      <c r="B225" s="19" t="s">
        <v>15</v>
      </c>
      <c r="C225" s="18">
        <v>2595670</v>
      </c>
      <c r="E225" s="18">
        <v>2844189</v>
      </c>
      <c r="G225" s="18">
        <v>888102</v>
      </c>
      <c r="I225" s="18">
        <v>199275</v>
      </c>
      <c r="K225" s="18">
        <f t="shared" si="4"/>
        <v>6527236</v>
      </c>
      <c r="M225" s="18">
        <v>3407601</v>
      </c>
      <c r="O225" s="18">
        <f>1897253-1</f>
        <v>1897252</v>
      </c>
      <c r="Q225" s="18">
        <v>1222383</v>
      </c>
      <c r="R225" s="32"/>
    </row>
    <row r="226" spans="1:18" s="18" customFormat="1" ht="13.5" customHeight="1">
      <c r="A226" s="18" t="s">
        <v>179</v>
      </c>
      <c r="B226" s="19" t="s">
        <v>15</v>
      </c>
      <c r="C226" s="18">
        <v>530457</v>
      </c>
      <c r="E226" s="18">
        <v>73961</v>
      </c>
      <c r="G226" s="18">
        <v>76733</v>
      </c>
      <c r="I226" s="18">
        <v>11549</v>
      </c>
      <c r="K226" s="18">
        <f t="shared" si="4"/>
        <v>692700</v>
      </c>
      <c r="M226" s="18">
        <v>423714</v>
      </c>
      <c r="O226" s="18">
        <f>169813+1</f>
        <v>169814</v>
      </c>
      <c r="Q226" s="18">
        <v>99172</v>
      </c>
      <c r="R226" s="32"/>
    </row>
    <row r="227" spans="1:18" s="18" customFormat="1" ht="13.5" customHeight="1">
      <c r="A227" s="18" t="s">
        <v>180</v>
      </c>
      <c r="B227" s="19" t="s">
        <v>15</v>
      </c>
      <c r="C227" s="17">
        <v>290116</v>
      </c>
      <c r="E227" s="17">
        <v>0</v>
      </c>
      <c r="G227" s="17">
        <v>95227</v>
      </c>
      <c r="I227" s="17">
        <v>8987</v>
      </c>
      <c r="K227" s="17">
        <f t="shared" si="4"/>
        <v>394330</v>
      </c>
      <c r="M227" s="17">
        <v>270298</v>
      </c>
      <c r="O227" s="17">
        <v>57636</v>
      </c>
      <c r="Q227" s="17">
        <v>66396</v>
      </c>
      <c r="R227" s="32"/>
    </row>
    <row r="228" spans="1:18" s="18" customFormat="1" ht="13.5" customHeight="1">
      <c r="A228" s="18" t="s">
        <v>229</v>
      </c>
      <c r="B228" s="19" t="s">
        <v>15</v>
      </c>
      <c r="C228" s="17">
        <f>SUM(C220:C227)</f>
        <v>3987753</v>
      </c>
      <c r="E228" s="17">
        <f>SUM(E220:E227)</f>
        <v>3386928</v>
      </c>
      <c r="G228" s="17">
        <f>SUM(G220:G227)</f>
        <v>1922937</v>
      </c>
      <c r="I228" s="17">
        <f>SUM(I220:I227)</f>
        <v>338647</v>
      </c>
      <c r="K228" s="20">
        <f t="shared" si="4"/>
        <v>9636265</v>
      </c>
      <c r="M228" s="17">
        <f>SUM(M220:M227)</f>
        <v>5399682</v>
      </c>
      <c r="O228" s="17">
        <f>SUM(O220:O227)</f>
        <v>2466818</v>
      </c>
      <c r="Q228" s="17">
        <f>SUM(Q220:Q227)</f>
        <v>1769765</v>
      </c>
      <c r="R228" s="32"/>
    </row>
    <row r="229" spans="2:18" s="18" customFormat="1" ht="13.5" customHeight="1">
      <c r="B229" s="19" t="s">
        <v>15</v>
      </c>
      <c r="R229" s="32"/>
    </row>
    <row r="230" spans="1:18" s="18" customFormat="1" ht="13.5" customHeight="1">
      <c r="A230" s="18" t="s">
        <v>20</v>
      </c>
      <c r="B230" s="19" t="s">
        <v>15</v>
      </c>
      <c r="C230" s="18" t="s">
        <v>15</v>
      </c>
      <c r="E230" s="18" t="s">
        <v>15</v>
      </c>
      <c r="G230" s="18" t="s">
        <v>15</v>
      </c>
      <c r="I230" s="18" t="s">
        <v>15</v>
      </c>
      <c r="M230" s="18" t="s">
        <v>15</v>
      </c>
      <c r="O230" s="18" t="s">
        <v>15</v>
      </c>
      <c r="Q230" s="18" t="s">
        <v>15</v>
      </c>
      <c r="R230" s="32"/>
    </row>
    <row r="231" spans="1:18" s="18" customFormat="1" ht="13.5" customHeight="1">
      <c r="A231" s="18" t="s">
        <v>309</v>
      </c>
      <c r="B231" s="19" t="s">
        <v>15</v>
      </c>
      <c r="C231" s="18">
        <v>37845</v>
      </c>
      <c r="E231" s="18">
        <v>114266</v>
      </c>
      <c r="G231" s="18">
        <v>48300</v>
      </c>
      <c r="I231" s="18">
        <v>4500</v>
      </c>
      <c r="K231" s="18">
        <f t="shared" si="4"/>
        <v>204911</v>
      </c>
      <c r="M231" s="18">
        <v>138327</v>
      </c>
      <c r="O231" s="18">
        <v>23399</v>
      </c>
      <c r="Q231" s="18">
        <v>43185</v>
      </c>
      <c r="R231" s="32"/>
    </row>
    <row r="232" spans="1:18" s="18" customFormat="1" ht="13.5" customHeight="1">
      <c r="A232" s="18" t="s">
        <v>41</v>
      </c>
      <c r="B232" s="19" t="s">
        <v>15</v>
      </c>
      <c r="C232" s="18">
        <v>6381</v>
      </c>
      <c r="E232" s="18">
        <v>0</v>
      </c>
      <c r="G232" s="18">
        <v>55780</v>
      </c>
      <c r="I232" s="18">
        <v>4810</v>
      </c>
      <c r="K232" s="18">
        <f t="shared" si="4"/>
        <v>66971</v>
      </c>
      <c r="M232" s="18">
        <v>19831</v>
      </c>
      <c r="O232" s="18">
        <v>47140</v>
      </c>
      <c r="Q232" s="18">
        <v>0</v>
      </c>
      <c r="R232" s="32"/>
    </row>
    <row r="233" spans="1:18" s="18" customFormat="1" ht="13.5" customHeight="1">
      <c r="A233" s="18" t="s">
        <v>69</v>
      </c>
      <c r="B233" s="19" t="s">
        <v>15</v>
      </c>
      <c r="C233" s="17">
        <v>119424</v>
      </c>
      <c r="E233" s="17">
        <v>0</v>
      </c>
      <c r="G233" s="17">
        <v>47478</v>
      </c>
      <c r="I233" s="17">
        <v>18017</v>
      </c>
      <c r="K233" s="17">
        <f t="shared" si="4"/>
        <v>184919</v>
      </c>
      <c r="M233" s="17">
        <v>132228</v>
      </c>
      <c r="O233" s="17">
        <v>15901</v>
      </c>
      <c r="Q233" s="17">
        <v>36790</v>
      </c>
      <c r="R233" s="32"/>
    </row>
    <row r="234" spans="1:18" s="18" customFormat="1" ht="13.5" customHeight="1">
      <c r="A234" s="18" t="s">
        <v>169</v>
      </c>
      <c r="B234" s="19" t="s">
        <v>15</v>
      </c>
      <c r="C234" s="17">
        <f>SUM(C231:C233)</f>
        <v>163650</v>
      </c>
      <c r="E234" s="17">
        <f>SUM(E231:E233)</f>
        <v>114266</v>
      </c>
      <c r="G234" s="17">
        <f>SUM(G231:G233)</f>
        <v>151558</v>
      </c>
      <c r="I234" s="17">
        <f>SUM(I231:I233)</f>
        <v>27327</v>
      </c>
      <c r="K234" s="20">
        <f t="shared" si="4"/>
        <v>456801</v>
      </c>
      <c r="M234" s="17">
        <f>SUM(M231:M233)</f>
        <v>290386</v>
      </c>
      <c r="O234" s="17">
        <f>SUM(O231:O233)</f>
        <v>86440</v>
      </c>
      <c r="Q234" s="17">
        <f>SUM(Q231:Q233)</f>
        <v>79975</v>
      </c>
      <c r="R234" s="32"/>
    </row>
    <row r="235" spans="2:18" s="18" customFormat="1" ht="13.5" customHeight="1">
      <c r="B235" s="19" t="s">
        <v>15</v>
      </c>
      <c r="R235" s="32"/>
    </row>
    <row r="236" spans="1:18" s="18" customFormat="1" ht="13.5" customHeight="1">
      <c r="A236" s="18" t="s">
        <v>21</v>
      </c>
      <c r="B236" s="19" t="s">
        <v>15</v>
      </c>
      <c r="C236" s="18" t="s">
        <v>15</v>
      </c>
      <c r="E236" s="18" t="s">
        <v>15</v>
      </c>
      <c r="G236" s="18" t="s">
        <v>15</v>
      </c>
      <c r="I236" s="18" t="s">
        <v>15</v>
      </c>
      <c r="M236" s="18" t="s">
        <v>15</v>
      </c>
      <c r="O236" s="18" t="s">
        <v>15</v>
      </c>
      <c r="Q236" s="18" t="s">
        <v>15</v>
      </c>
      <c r="R236" s="32"/>
    </row>
    <row r="237" spans="1:18" s="18" customFormat="1" ht="13.5" customHeight="1">
      <c r="A237" s="18" t="s">
        <v>102</v>
      </c>
      <c r="B237" s="19" t="s">
        <v>15</v>
      </c>
      <c r="C237" s="18">
        <v>53402</v>
      </c>
      <c r="E237" s="18">
        <v>711542</v>
      </c>
      <c r="G237" s="18">
        <v>711266</v>
      </c>
      <c r="I237" s="18">
        <v>277344</v>
      </c>
      <c r="K237" s="18">
        <f t="shared" si="4"/>
        <v>1753554</v>
      </c>
      <c r="M237" s="18">
        <v>786866</v>
      </c>
      <c r="O237" s="18">
        <f>723593-1</f>
        <v>723592</v>
      </c>
      <c r="Q237" s="18">
        <v>243096</v>
      </c>
      <c r="R237" s="32"/>
    </row>
    <row r="238" spans="1:18" s="18" customFormat="1" ht="13.5" customHeight="1">
      <c r="A238" s="18" t="s">
        <v>71</v>
      </c>
      <c r="B238" s="19" t="s">
        <v>15</v>
      </c>
      <c r="C238" s="18">
        <v>1239604</v>
      </c>
      <c r="E238" s="18">
        <v>288589</v>
      </c>
      <c r="G238" s="18">
        <v>297194</v>
      </c>
      <c r="I238" s="18">
        <v>58008</v>
      </c>
      <c r="K238" s="18">
        <f t="shared" si="4"/>
        <v>1883395</v>
      </c>
      <c r="M238" s="18">
        <v>1057111</v>
      </c>
      <c r="O238" s="18">
        <v>568031</v>
      </c>
      <c r="Q238" s="18">
        <v>258253</v>
      </c>
      <c r="R238" s="32"/>
    </row>
    <row r="239" spans="1:18" s="18" customFormat="1" ht="13.5" customHeight="1">
      <c r="A239" s="18" t="s">
        <v>72</v>
      </c>
      <c r="B239" s="19" t="s">
        <v>15</v>
      </c>
      <c r="C239" s="18">
        <v>641920</v>
      </c>
      <c r="E239" s="18">
        <v>447482</v>
      </c>
      <c r="G239" s="18">
        <v>597473</v>
      </c>
      <c r="I239" s="18">
        <v>39541</v>
      </c>
      <c r="K239" s="18">
        <f t="shared" si="4"/>
        <v>1726416</v>
      </c>
      <c r="M239" s="18">
        <v>973374</v>
      </c>
      <c r="O239" s="18">
        <v>367550</v>
      </c>
      <c r="Q239" s="18">
        <v>385492</v>
      </c>
      <c r="R239" s="32"/>
    </row>
    <row r="240" spans="1:18" s="18" customFormat="1" ht="13.5" customHeight="1">
      <c r="A240" s="18" t="s">
        <v>103</v>
      </c>
      <c r="B240" s="19" t="s">
        <v>15</v>
      </c>
      <c r="C240" s="18">
        <v>8154</v>
      </c>
      <c r="E240" s="18">
        <v>325263</v>
      </c>
      <c r="G240" s="18">
        <v>448852</v>
      </c>
      <c r="I240" s="18">
        <v>12220</v>
      </c>
      <c r="K240" s="18">
        <f t="shared" si="4"/>
        <v>794489</v>
      </c>
      <c r="M240" s="18">
        <v>154090</v>
      </c>
      <c r="O240" s="18">
        <f>603802+1</f>
        <v>603803</v>
      </c>
      <c r="Q240" s="18">
        <v>36596</v>
      </c>
      <c r="R240" s="32"/>
    </row>
    <row r="241" spans="1:18" s="18" customFormat="1" ht="13.5" customHeight="1">
      <c r="A241" s="18" t="s">
        <v>104</v>
      </c>
      <c r="B241" s="19" t="s">
        <v>15</v>
      </c>
      <c r="C241" s="18">
        <v>22865</v>
      </c>
      <c r="E241" s="18">
        <v>7595</v>
      </c>
      <c r="G241" s="18">
        <v>27907</v>
      </c>
      <c r="I241" s="18">
        <v>9885</v>
      </c>
      <c r="K241" s="18">
        <f t="shared" si="4"/>
        <v>68252</v>
      </c>
      <c r="M241" s="18">
        <v>49977</v>
      </c>
      <c r="O241" s="18">
        <v>5234</v>
      </c>
      <c r="Q241" s="18">
        <v>13041</v>
      </c>
      <c r="R241" s="32"/>
    </row>
    <row r="242" spans="1:18" s="18" customFormat="1" ht="13.5" customHeight="1">
      <c r="A242" s="18" t="s">
        <v>105</v>
      </c>
      <c r="B242" s="19" t="s">
        <v>15</v>
      </c>
      <c r="C242" s="18">
        <v>52311</v>
      </c>
      <c r="E242" s="18">
        <v>144755</v>
      </c>
      <c r="G242" s="18">
        <v>65106</v>
      </c>
      <c r="I242" s="18">
        <v>1809</v>
      </c>
      <c r="K242" s="18">
        <f t="shared" si="4"/>
        <v>263981</v>
      </c>
      <c r="M242" s="18">
        <v>151912</v>
      </c>
      <c r="O242" s="18">
        <f>27520-1</f>
        <v>27519</v>
      </c>
      <c r="Q242" s="18">
        <v>84550</v>
      </c>
      <c r="R242" s="32"/>
    </row>
    <row r="243" spans="1:18" s="18" customFormat="1" ht="13.5" customHeight="1">
      <c r="A243" s="18" t="s">
        <v>41</v>
      </c>
      <c r="B243" s="19" t="s">
        <v>15</v>
      </c>
      <c r="C243" s="18">
        <v>228352</v>
      </c>
      <c r="E243" s="18">
        <v>770939</v>
      </c>
      <c r="G243" s="18">
        <v>102731</v>
      </c>
      <c r="I243" s="18">
        <v>392966</v>
      </c>
      <c r="K243" s="18">
        <f t="shared" si="4"/>
        <v>1494988</v>
      </c>
      <c r="M243" s="18">
        <v>560790</v>
      </c>
      <c r="O243" s="18">
        <v>704592</v>
      </c>
      <c r="Q243" s="18">
        <v>229606</v>
      </c>
      <c r="R243" s="32"/>
    </row>
    <row r="244" spans="1:18" s="18" customFormat="1" ht="13.5" customHeight="1">
      <c r="A244" s="18" t="s">
        <v>37</v>
      </c>
      <c r="B244" s="19" t="s">
        <v>15</v>
      </c>
      <c r="C244" s="18">
        <v>3530436</v>
      </c>
      <c r="E244" s="18">
        <v>0</v>
      </c>
      <c r="G244" s="18">
        <v>0</v>
      </c>
      <c r="I244" s="18">
        <v>9018</v>
      </c>
      <c r="K244" s="18">
        <f t="shared" si="4"/>
        <v>3539454</v>
      </c>
      <c r="M244" s="18">
        <v>2368167</v>
      </c>
      <c r="O244" s="18">
        <v>581313</v>
      </c>
      <c r="Q244" s="18">
        <v>589974</v>
      </c>
      <c r="R244" s="32"/>
    </row>
    <row r="245" spans="1:18" s="18" customFormat="1" ht="13.5" customHeight="1">
      <c r="A245" s="18" t="s">
        <v>106</v>
      </c>
      <c r="B245" s="19" t="s">
        <v>15</v>
      </c>
      <c r="C245" s="18">
        <v>1396484</v>
      </c>
      <c r="E245" s="18">
        <v>642711</v>
      </c>
      <c r="G245" s="18">
        <v>230449</v>
      </c>
      <c r="I245" s="18">
        <v>366398</v>
      </c>
      <c r="K245" s="18">
        <f t="shared" si="4"/>
        <v>2636042</v>
      </c>
      <c r="M245" s="18">
        <v>1345053</v>
      </c>
      <c r="O245" s="18">
        <v>895600</v>
      </c>
      <c r="Q245" s="18">
        <v>395389</v>
      </c>
      <c r="R245" s="32"/>
    </row>
    <row r="246" spans="1:18" s="18" customFormat="1" ht="13.5" customHeight="1">
      <c r="A246" s="18" t="s">
        <v>74</v>
      </c>
      <c r="B246" s="19" t="s">
        <v>15</v>
      </c>
      <c r="C246" s="18">
        <v>92744</v>
      </c>
      <c r="E246" s="18">
        <v>21839</v>
      </c>
      <c r="G246" s="18">
        <v>315334</v>
      </c>
      <c r="I246" s="18">
        <v>60992</v>
      </c>
      <c r="K246" s="18">
        <f t="shared" si="4"/>
        <v>490909</v>
      </c>
      <c r="M246" s="18">
        <v>281232</v>
      </c>
      <c r="O246" s="18">
        <f>99793-1</f>
        <v>99792</v>
      </c>
      <c r="Q246" s="18">
        <v>109885</v>
      </c>
      <c r="R246" s="32"/>
    </row>
    <row r="247" spans="1:18" s="18" customFormat="1" ht="13.5" customHeight="1">
      <c r="A247" s="18" t="s">
        <v>216</v>
      </c>
      <c r="B247" s="19"/>
      <c r="C247" s="18">
        <v>530237</v>
      </c>
      <c r="E247" s="18">
        <v>205379</v>
      </c>
      <c r="G247" s="18">
        <v>85922</v>
      </c>
      <c r="I247" s="18">
        <v>8572</v>
      </c>
      <c r="K247" s="18">
        <f t="shared" si="4"/>
        <v>830110</v>
      </c>
      <c r="M247" s="18">
        <v>335184</v>
      </c>
      <c r="O247" s="18">
        <f>397769+1</f>
        <v>397770</v>
      </c>
      <c r="Q247" s="18">
        <v>97156</v>
      </c>
      <c r="R247" s="32"/>
    </row>
    <row r="248" spans="1:18" s="18" customFormat="1" ht="13.5" customHeight="1">
      <c r="A248" s="18" t="s">
        <v>107</v>
      </c>
      <c r="B248" s="19" t="s">
        <v>15</v>
      </c>
      <c r="C248" s="17">
        <v>-240</v>
      </c>
      <c r="E248" s="17">
        <v>96438</v>
      </c>
      <c r="G248" s="17">
        <v>0</v>
      </c>
      <c r="I248" s="17">
        <v>424</v>
      </c>
      <c r="K248" s="17">
        <f t="shared" si="4"/>
        <v>96622</v>
      </c>
      <c r="M248" s="17">
        <v>76006</v>
      </c>
      <c r="O248" s="17">
        <v>20664</v>
      </c>
      <c r="Q248" s="17">
        <v>-48</v>
      </c>
      <c r="R248" s="32"/>
    </row>
    <row r="249" spans="1:18" s="18" customFormat="1" ht="13.5" customHeight="1">
      <c r="A249" s="18" t="s">
        <v>181</v>
      </c>
      <c r="B249" s="19" t="s">
        <v>15</v>
      </c>
      <c r="C249" s="17">
        <f>SUM(C237:C248)</f>
        <v>7796269</v>
      </c>
      <c r="E249" s="17">
        <f>SUM(E237:E248)</f>
        <v>3662532</v>
      </c>
      <c r="G249" s="17">
        <f>SUM(G237:G248)</f>
        <v>2882234</v>
      </c>
      <c r="I249" s="17">
        <f>SUM(I237:I248)</f>
        <v>1237177</v>
      </c>
      <c r="K249" s="20">
        <f t="shared" si="4"/>
        <v>15578212</v>
      </c>
      <c r="M249" s="17">
        <f>SUM(M237:M248)</f>
        <v>8139762</v>
      </c>
      <c r="O249" s="17">
        <f>SUM(O237:O248)</f>
        <v>4995460</v>
      </c>
      <c r="Q249" s="17">
        <f>SUM(Q237:Q248)</f>
        <v>2442990</v>
      </c>
      <c r="R249" s="32"/>
    </row>
    <row r="250" spans="2:18" s="18" customFormat="1" ht="13.5" customHeight="1">
      <c r="B250" s="19" t="s">
        <v>15</v>
      </c>
      <c r="R250" s="32"/>
    </row>
    <row r="251" spans="1:18" s="18" customFormat="1" ht="13.5" customHeight="1">
      <c r="A251" s="18" t="s">
        <v>277</v>
      </c>
      <c r="B251" s="19"/>
      <c r="C251" s="17">
        <v>0</v>
      </c>
      <c r="E251" s="17">
        <v>0</v>
      </c>
      <c r="G251" s="17">
        <v>56672</v>
      </c>
      <c r="I251" s="17">
        <v>0</v>
      </c>
      <c r="K251" s="17">
        <f t="shared" si="4"/>
        <v>56672</v>
      </c>
      <c r="M251" s="17">
        <v>42330</v>
      </c>
      <c r="O251" s="17">
        <v>4897</v>
      </c>
      <c r="Q251" s="17">
        <v>9445</v>
      </c>
      <c r="R251" s="32"/>
    </row>
    <row r="252" spans="2:18" s="18" customFormat="1" ht="13.5" customHeight="1">
      <c r="B252" s="19"/>
      <c r="R252" s="32"/>
    </row>
    <row r="253" spans="1:18" s="18" customFormat="1" ht="13.5" customHeight="1">
      <c r="A253" s="18" t="s">
        <v>108</v>
      </c>
      <c r="B253" s="19" t="s">
        <v>15</v>
      </c>
      <c r="C253" s="17">
        <v>0</v>
      </c>
      <c r="E253" s="17">
        <v>0</v>
      </c>
      <c r="F253" s="18" t="s">
        <v>16</v>
      </c>
      <c r="G253" s="17">
        <v>16533</v>
      </c>
      <c r="I253" s="17">
        <v>27642</v>
      </c>
      <c r="K253" s="17">
        <f t="shared" si="4"/>
        <v>44175</v>
      </c>
      <c r="M253" s="17">
        <v>0</v>
      </c>
      <c r="O253" s="17">
        <v>44175</v>
      </c>
      <c r="Q253" s="17">
        <v>0</v>
      </c>
      <c r="R253" s="32"/>
    </row>
    <row r="254" spans="2:18" s="18" customFormat="1" ht="13.5" customHeight="1">
      <c r="B254" s="19" t="s">
        <v>15</v>
      </c>
      <c r="R254" s="32"/>
    </row>
    <row r="255" spans="1:18" s="18" customFormat="1" ht="13.5" customHeight="1">
      <c r="A255" s="18" t="s">
        <v>244</v>
      </c>
      <c r="B255" s="19"/>
      <c r="C255" s="17">
        <v>0</v>
      </c>
      <c r="E255" s="17">
        <v>18472</v>
      </c>
      <c r="G255" s="17">
        <v>15042</v>
      </c>
      <c r="I255" s="17">
        <v>0</v>
      </c>
      <c r="K255" s="17">
        <f t="shared" si="4"/>
        <v>33514</v>
      </c>
      <c r="M255" s="17">
        <v>26224</v>
      </c>
      <c r="O255" s="17">
        <v>1384</v>
      </c>
      <c r="Q255" s="17">
        <v>5906</v>
      </c>
      <c r="R255" s="32"/>
    </row>
    <row r="256" spans="2:18" s="18" customFormat="1" ht="13.5" customHeight="1">
      <c r="B256" s="19"/>
      <c r="R256" s="32"/>
    </row>
    <row r="257" spans="1:18" s="18" customFormat="1" ht="13.5" customHeight="1">
      <c r="A257" s="18" t="s">
        <v>109</v>
      </c>
      <c r="B257" s="19" t="s">
        <v>15</v>
      </c>
      <c r="C257" s="17">
        <v>250979</v>
      </c>
      <c r="E257" s="17">
        <v>76540</v>
      </c>
      <c r="G257" s="17">
        <v>81797</v>
      </c>
      <c r="I257" s="17">
        <v>0</v>
      </c>
      <c r="K257" s="17">
        <f t="shared" si="4"/>
        <v>409316</v>
      </c>
      <c r="M257" s="17">
        <v>330683</v>
      </c>
      <c r="O257" s="17">
        <f>19483-1</f>
        <v>19482</v>
      </c>
      <c r="Q257" s="17">
        <v>59151</v>
      </c>
      <c r="R257" s="32"/>
    </row>
    <row r="258" spans="2:18" s="18" customFormat="1" ht="13.5" customHeight="1">
      <c r="B258" s="19" t="s">
        <v>15</v>
      </c>
      <c r="R258" s="32"/>
    </row>
    <row r="259" spans="1:18" s="18" customFormat="1" ht="13.5" customHeight="1">
      <c r="A259" s="18" t="s">
        <v>292</v>
      </c>
      <c r="B259" s="19" t="s">
        <v>15</v>
      </c>
      <c r="C259" s="17">
        <v>250994</v>
      </c>
      <c r="E259" s="17">
        <v>2128394</v>
      </c>
      <c r="G259" s="17">
        <v>45535</v>
      </c>
      <c r="I259" s="17">
        <v>6273</v>
      </c>
      <c r="K259" s="17">
        <f t="shared" si="4"/>
        <v>2431196</v>
      </c>
      <c r="M259" s="17">
        <v>1297327</v>
      </c>
      <c r="O259" s="17">
        <f>591677-1</f>
        <v>591676</v>
      </c>
      <c r="Q259" s="17">
        <v>542193</v>
      </c>
      <c r="R259" s="32"/>
    </row>
    <row r="260" spans="2:18" s="18" customFormat="1" ht="13.5" customHeight="1">
      <c r="B260" s="19" t="s">
        <v>15</v>
      </c>
      <c r="R260" s="32"/>
    </row>
    <row r="261" spans="1:18" s="18" customFormat="1" ht="13.5" customHeight="1">
      <c r="A261" s="18" t="s">
        <v>77</v>
      </c>
      <c r="B261" s="19" t="s">
        <v>15</v>
      </c>
      <c r="C261" s="17">
        <v>30984</v>
      </c>
      <c r="E261" s="17">
        <v>0</v>
      </c>
      <c r="G261" s="17">
        <v>53062</v>
      </c>
      <c r="I261" s="17">
        <v>1000</v>
      </c>
      <c r="K261" s="17">
        <f t="shared" si="4"/>
        <v>85046</v>
      </c>
      <c r="M261" s="17">
        <v>49406</v>
      </c>
      <c r="O261" s="17">
        <f>35639+1</f>
        <v>35640</v>
      </c>
      <c r="Q261" s="17">
        <v>0</v>
      </c>
      <c r="R261" s="32"/>
    </row>
    <row r="262" spans="2:18" s="18" customFormat="1" ht="13.5" customHeight="1">
      <c r="B262" s="19" t="s">
        <v>15</v>
      </c>
      <c r="R262" s="32"/>
    </row>
    <row r="263" spans="1:18" s="18" customFormat="1" ht="13.5" customHeight="1">
      <c r="A263" s="18" t="s">
        <v>110</v>
      </c>
      <c r="B263" s="19" t="s">
        <v>15</v>
      </c>
      <c r="C263" s="17">
        <v>177386</v>
      </c>
      <c r="E263" s="17">
        <v>323108</v>
      </c>
      <c r="G263" s="17">
        <v>126883</v>
      </c>
      <c r="I263" s="17">
        <v>4123</v>
      </c>
      <c r="K263" s="17">
        <f t="shared" si="4"/>
        <v>631500</v>
      </c>
      <c r="M263" s="17">
        <v>228422</v>
      </c>
      <c r="O263" s="17">
        <f>295051-1</f>
        <v>295050</v>
      </c>
      <c r="Q263" s="17">
        <v>108028</v>
      </c>
      <c r="R263" s="32"/>
    </row>
    <row r="264" spans="2:18" s="18" customFormat="1" ht="13.5" customHeight="1">
      <c r="B264" s="19" t="s">
        <v>15</v>
      </c>
      <c r="R264" s="32"/>
    </row>
    <row r="265" spans="1:18" s="18" customFormat="1" ht="13.5" customHeight="1">
      <c r="A265" s="18" t="s">
        <v>111</v>
      </c>
      <c r="B265" s="19" t="s">
        <v>15</v>
      </c>
      <c r="C265" s="17">
        <v>0</v>
      </c>
      <c r="E265" s="17">
        <v>0</v>
      </c>
      <c r="G265" s="17">
        <v>605</v>
      </c>
      <c r="I265" s="17">
        <v>79174</v>
      </c>
      <c r="K265" s="17">
        <f t="shared" si="4"/>
        <v>79779</v>
      </c>
      <c r="M265" s="17">
        <v>10863</v>
      </c>
      <c r="O265" s="17">
        <v>68916</v>
      </c>
      <c r="Q265" s="17">
        <v>0</v>
      </c>
      <c r="R265" s="32"/>
    </row>
    <row r="266" spans="2:18" s="18" customFormat="1" ht="13.5" customHeight="1">
      <c r="B266" s="19" t="s">
        <v>15</v>
      </c>
      <c r="R266" s="32"/>
    </row>
    <row r="267" spans="1:18" s="18" customFormat="1" ht="13.5" customHeight="1">
      <c r="A267" s="18" t="s">
        <v>24</v>
      </c>
      <c r="B267" s="19" t="s">
        <v>15</v>
      </c>
      <c r="R267" s="32"/>
    </row>
    <row r="268" spans="1:18" s="18" customFormat="1" ht="13.5" customHeight="1">
      <c r="A268" s="18" t="s">
        <v>306</v>
      </c>
      <c r="B268" s="19"/>
      <c r="C268" s="18">
        <v>0</v>
      </c>
      <c r="E268" s="18">
        <v>0</v>
      </c>
      <c r="G268" s="18">
        <v>0</v>
      </c>
      <c r="I268" s="18">
        <v>179</v>
      </c>
      <c r="K268" s="18">
        <f t="shared" si="4"/>
        <v>179</v>
      </c>
      <c r="M268" s="18">
        <v>0</v>
      </c>
      <c r="O268" s="18">
        <v>179</v>
      </c>
      <c r="Q268" s="18">
        <v>0</v>
      </c>
      <c r="R268" s="32"/>
    </row>
    <row r="269" spans="1:18" s="18" customFormat="1" ht="13.5" customHeight="1">
      <c r="A269" s="18" t="s">
        <v>204</v>
      </c>
      <c r="B269" s="19" t="s">
        <v>15</v>
      </c>
      <c r="C269" s="18">
        <v>0</v>
      </c>
      <c r="E269" s="18">
        <v>0</v>
      </c>
      <c r="G269" s="18">
        <v>0</v>
      </c>
      <c r="I269" s="18">
        <v>170424</v>
      </c>
      <c r="K269" s="18">
        <f t="shared" si="4"/>
        <v>170424</v>
      </c>
      <c r="M269" s="18">
        <v>0</v>
      </c>
      <c r="O269" s="18">
        <v>170424</v>
      </c>
      <c r="Q269" s="18">
        <v>0</v>
      </c>
      <c r="R269" s="32"/>
    </row>
    <row r="270" spans="1:18" s="18" customFormat="1" ht="13.5" customHeight="1">
      <c r="A270" s="18" t="s">
        <v>245</v>
      </c>
      <c r="B270" s="19"/>
      <c r="C270" s="17">
        <v>0</v>
      </c>
      <c r="E270" s="17">
        <v>0</v>
      </c>
      <c r="G270" s="17">
        <v>119714</v>
      </c>
      <c r="I270" s="17">
        <v>0</v>
      </c>
      <c r="K270" s="17">
        <f t="shared" si="4"/>
        <v>119714</v>
      </c>
      <c r="M270" s="17">
        <v>112315</v>
      </c>
      <c r="O270" s="17">
        <v>7399</v>
      </c>
      <c r="Q270" s="17">
        <v>0</v>
      </c>
      <c r="R270" s="32"/>
    </row>
    <row r="271" spans="1:18" s="18" customFormat="1" ht="13.5" customHeight="1">
      <c r="A271" s="18" t="s">
        <v>195</v>
      </c>
      <c r="B271" s="19" t="s">
        <v>15</v>
      </c>
      <c r="C271" s="17">
        <f>SUM(C268:C270)</f>
        <v>0</v>
      </c>
      <c r="D271" s="21"/>
      <c r="E271" s="17">
        <f>SUM(E268:E270)</f>
        <v>0</v>
      </c>
      <c r="F271" s="21"/>
      <c r="G271" s="17">
        <f>SUM(G268:G270)</f>
        <v>119714</v>
      </c>
      <c r="H271" s="21"/>
      <c r="I271" s="17">
        <f>SUM(I268:I270)</f>
        <v>170603</v>
      </c>
      <c r="K271" s="20">
        <f t="shared" si="4"/>
        <v>290317</v>
      </c>
      <c r="M271" s="17">
        <f>SUM(M268:M270)</f>
        <v>112315</v>
      </c>
      <c r="N271" s="21"/>
      <c r="O271" s="17">
        <f>SUM(O268:O270)</f>
        <v>178002</v>
      </c>
      <c r="P271" s="21"/>
      <c r="Q271" s="17">
        <f>SUM(Q268:Q270)</f>
        <v>0</v>
      </c>
      <c r="R271" s="32"/>
    </row>
    <row r="272" spans="2:18" s="18" customFormat="1" ht="13.5" customHeight="1">
      <c r="B272" s="19" t="s">
        <v>15</v>
      </c>
      <c r="R272" s="32"/>
    </row>
    <row r="273" spans="1:18" s="18" customFormat="1" ht="13.5" customHeight="1">
      <c r="A273" s="18" t="s">
        <v>304</v>
      </c>
      <c r="B273" s="19" t="s">
        <v>15</v>
      </c>
      <c r="C273" s="17">
        <v>805949</v>
      </c>
      <c r="E273" s="17">
        <v>0</v>
      </c>
      <c r="G273" s="17">
        <v>2129</v>
      </c>
      <c r="I273" s="17">
        <v>22968</v>
      </c>
      <c r="K273" s="17">
        <f t="shared" si="4"/>
        <v>831046</v>
      </c>
      <c r="M273" s="17">
        <v>562092</v>
      </c>
      <c r="O273" s="17">
        <v>112828</v>
      </c>
      <c r="Q273" s="17">
        <v>156126</v>
      </c>
      <c r="R273" s="32"/>
    </row>
    <row r="274" spans="2:18" s="18" customFormat="1" ht="13.5" customHeight="1">
      <c r="B274" s="19" t="s">
        <v>15</v>
      </c>
      <c r="R274" s="32"/>
    </row>
    <row r="275" spans="1:23" s="18" customFormat="1" ht="13.5" customHeight="1">
      <c r="A275" s="18" t="s">
        <v>25</v>
      </c>
      <c r="B275" s="19" t="s">
        <v>15</v>
      </c>
      <c r="C275" s="18" t="s">
        <v>16</v>
      </c>
      <c r="E275" s="18" t="s">
        <v>16</v>
      </c>
      <c r="G275" s="18" t="s">
        <v>16</v>
      </c>
      <c r="I275" s="18" t="s">
        <v>16</v>
      </c>
      <c r="M275" s="18" t="s">
        <v>16</v>
      </c>
      <c r="O275" s="18" t="s">
        <v>16</v>
      </c>
      <c r="Q275" s="18" t="s">
        <v>16</v>
      </c>
      <c r="R275" s="32" t="s">
        <v>16</v>
      </c>
      <c r="T275" s="18" t="s">
        <v>16</v>
      </c>
      <c r="U275" s="18" t="s">
        <v>16</v>
      </c>
      <c r="V275" s="18" t="s">
        <v>16</v>
      </c>
      <c r="W275" s="18" t="s">
        <v>16</v>
      </c>
    </row>
    <row r="276" spans="1:18" s="18" customFormat="1" ht="13.5" customHeight="1">
      <c r="A276" s="18" t="s">
        <v>280</v>
      </c>
      <c r="B276" s="19"/>
      <c r="C276" s="18">
        <v>0</v>
      </c>
      <c r="E276" s="18">
        <v>0</v>
      </c>
      <c r="G276" s="18">
        <v>0</v>
      </c>
      <c r="I276" s="18">
        <v>25912</v>
      </c>
      <c r="K276" s="18">
        <f t="shared" si="4"/>
        <v>25912</v>
      </c>
      <c r="M276" s="18">
        <v>13629</v>
      </c>
      <c r="O276" s="18">
        <v>12283</v>
      </c>
      <c r="Q276" s="18">
        <v>0</v>
      </c>
      <c r="R276" s="32"/>
    </row>
    <row r="277" spans="1:18" s="18" customFormat="1" ht="13.5" customHeight="1">
      <c r="A277" s="18" t="s">
        <v>85</v>
      </c>
      <c r="B277" s="19" t="s">
        <v>15</v>
      </c>
      <c r="C277" s="18">
        <v>90798</v>
      </c>
      <c r="E277" s="18">
        <v>4306</v>
      </c>
      <c r="G277" s="18">
        <v>161049</v>
      </c>
      <c r="I277" s="18">
        <v>6081</v>
      </c>
      <c r="K277" s="18">
        <f t="shared" si="4"/>
        <v>262234</v>
      </c>
      <c r="M277" s="18">
        <v>124051</v>
      </c>
      <c r="O277" s="18">
        <f>134692-1</f>
        <v>134691</v>
      </c>
      <c r="Q277" s="18">
        <v>3492</v>
      </c>
      <c r="R277" s="32"/>
    </row>
    <row r="278" spans="1:18" s="18" customFormat="1" ht="13.5" customHeight="1">
      <c r="A278" s="18" t="s">
        <v>112</v>
      </c>
      <c r="B278" s="19" t="s">
        <v>15</v>
      </c>
      <c r="C278" s="18">
        <v>76833</v>
      </c>
      <c r="E278" s="18">
        <v>1459307</v>
      </c>
      <c r="G278" s="18">
        <v>122544</v>
      </c>
      <c r="I278" s="18">
        <v>66921</v>
      </c>
      <c r="K278" s="18">
        <f aca="true" t="shared" si="5" ref="K278:K341">IF(SUM(C278:I278)=SUM(M278:Q278),SUM(C278:I278),SUM(M278:Q278)-SUM(C278:I278))</f>
        <v>1725605</v>
      </c>
      <c r="M278" s="18">
        <v>766754</v>
      </c>
      <c r="O278" s="18">
        <f>487257-1</f>
        <v>487256</v>
      </c>
      <c r="Q278" s="18">
        <v>471595</v>
      </c>
      <c r="R278" s="32"/>
    </row>
    <row r="279" spans="1:18" s="18" customFormat="1" ht="13.5" customHeight="1">
      <c r="A279" s="18" t="s">
        <v>113</v>
      </c>
      <c r="B279" s="19" t="s">
        <v>15</v>
      </c>
      <c r="C279" s="18">
        <v>0</v>
      </c>
      <c r="E279" s="18">
        <v>0</v>
      </c>
      <c r="G279" s="18">
        <v>335</v>
      </c>
      <c r="I279" s="18">
        <v>0</v>
      </c>
      <c r="K279" s="18">
        <f t="shared" si="5"/>
        <v>335</v>
      </c>
      <c r="M279" s="18">
        <v>0</v>
      </c>
      <c r="O279" s="18">
        <v>335</v>
      </c>
      <c r="Q279" s="18">
        <v>0</v>
      </c>
      <c r="R279" s="32"/>
    </row>
    <row r="280" spans="1:18" s="18" customFormat="1" ht="13.5" customHeight="1">
      <c r="A280" s="18" t="s">
        <v>41</v>
      </c>
      <c r="B280" s="19" t="s">
        <v>15</v>
      </c>
      <c r="C280" s="18">
        <v>0</v>
      </c>
      <c r="E280" s="18">
        <v>0</v>
      </c>
      <c r="G280" s="18">
        <v>0</v>
      </c>
      <c r="I280" s="18">
        <v>32384</v>
      </c>
      <c r="K280" s="18">
        <f t="shared" si="5"/>
        <v>32384</v>
      </c>
      <c r="M280" s="18">
        <v>3139</v>
      </c>
      <c r="O280" s="18">
        <f>29246-1</f>
        <v>29245</v>
      </c>
      <c r="Q280" s="18">
        <v>0</v>
      </c>
      <c r="R280" s="32"/>
    </row>
    <row r="281" spans="1:18" s="18" customFormat="1" ht="13.5" customHeight="1">
      <c r="A281" s="18" t="s">
        <v>249</v>
      </c>
      <c r="B281" s="19" t="s">
        <v>15</v>
      </c>
      <c r="C281" s="18">
        <v>0</v>
      </c>
      <c r="E281" s="18">
        <v>0</v>
      </c>
      <c r="G281" s="18">
        <v>0</v>
      </c>
      <c r="I281" s="18">
        <v>28</v>
      </c>
      <c r="K281" s="18">
        <f t="shared" si="5"/>
        <v>28</v>
      </c>
      <c r="M281" s="18">
        <v>0</v>
      </c>
      <c r="O281" s="18">
        <v>28</v>
      </c>
      <c r="Q281" s="18">
        <v>0</v>
      </c>
      <c r="R281" s="32"/>
    </row>
    <row r="282" spans="1:18" s="18" customFormat="1" ht="13.5" customHeight="1">
      <c r="A282" s="18" t="s">
        <v>115</v>
      </c>
      <c r="B282" s="19" t="s">
        <v>15</v>
      </c>
      <c r="C282" s="21">
        <v>110222</v>
      </c>
      <c r="E282" s="18">
        <v>2748694</v>
      </c>
      <c r="G282" s="18">
        <v>210742</v>
      </c>
      <c r="I282" s="18">
        <v>12831</v>
      </c>
      <c r="K282" s="17">
        <f t="shared" si="5"/>
        <v>3082489</v>
      </c>
      <c r="M282" s="18">
        <v>1286008</v>
      </c>
      <c r="O282" s="18">
        <f>1167106+1</f>
        <v>1167107</v>
      </c>
      <c r="Q282" s="18">
        <v>629374</v>
      </c>
      <c r="R282" s="32"/>
    </row>
    <row r="283" spans="1:18" s="18" customFormat="1" ht="13.5" customHeight="1">
      <c r="A283" s="18" t="s">
        <v>172</v>
      </c>
      <c r="B283" s="19" t="s">
        <v>15</v>
      </c>
      <c r="C283" s="20">
        <f>SUM(C276:C282)</f>
        <v>277853</v>
      </c>
      <c r="E283" s="20">
        <f>SUM(E276:E282)</f>
        <v>4212307</v>
      </c>
      <c r="G283" s="20">
        <f>SUM(G276:G282)</f>
        <v>494670</v>
      </c>
      <c r="I283" s="20">
        <f>SUM(I276:I282)</f>
        <v>144157</v>
      </c>
      <c r="K283" s="20">
        <f t="shared" si="5"/>
        <v>5128987</v>
      </c>
      <c r="M283" s="20">
        <f>SUM(M276:M282)</f>
        <v>2193581</v>
      </c>
      <c r="O283" s="20">
        <f>SUM(O276:O282)</f>
        <v>1830945</v>
      </c>
      <c r="Q283" s="20">
        <f>SUM(Q276:Q282)</f>
        <v>1104461</v>
      </c>
      <c r="R283" s="32"/>
    </row>
    <row r="284" spans="2:18" s="18" customFormat="1" ht="13.5" customHeight="1">
      <c r="B284" s="19" t="s">
        <v>15</v>
      </c>
      <c r="R284" s="32"/>
    </row>
    <row r="285" spans="1:18" s="18" customFormat="1" ht="13.5" customHeight="1">
      <c r="A285" s="18" t="s">
        <v>270</v>
      </c>
      <c r="B285" s="19"/>
      <c r="C285" s="17">
        <v>150357</v>
      </c>
      <c r="E285" s="17">
        <v>0</v>
      </c>
      <c r="G285" s="17">
        <v>0</v>
      </c>
      <c r="I285" s="17">
        <v>0</v>
      </c>
      <c r="K285" s="17">
        <f t="shared" si="5"/>
        <v>150357</v>
      </c>
      <c r="M285" s="17">
        <v>0</v>
      </c>
      <c r="O285" s="17">
        <f>150267-1</f>
        <v>150266</v>
      </c>
      <c r="Q285" s="17">
        <v>91</v>
      </c>
      <c r="R285" s="32"/>
    </row>
    <row r="286" spans="2:18" s="18" customFormat="1" ht="13.5" customHeight="1">
      <c r="B286" s="19"/>
      <c r="R286" s="32"/>
    </row>
    <row r="287" spans="1:18" s="18" customFormat="1" ht="13.5" customHeight="1">
      <c r="A287" s="18" t="s">
        <v>182</v>
      </c>
      <c r="B287" s="19" t="s">
        <v>15</v>
      </c>
      <c r="C287" s="17">
        <f>SUM(C285,C283,C273,C271,C265,C263,C261,C259,C257,C255,C253,C251,C249,C234,C228,C217,C215,C213,C211,C199,C189,C174,C165)</f>
        <v>21596267</v>
      </c>
      <c r="D287" s="21"/>
      <c r="E287" s="17">
        <f>SUM(E285,E283,E273,E271,E265,E263,E261,E259,E257,E255,E253,E251,E249,E234,E228,E217,E215,E213,E211,E199,E189,E174,E165)</f>
        <v>34676608</v>
      </c>
      <c r="F287" s="21"/>
      <c r="G287" s="17">
        <f>SUM(G285,G283,G273,G271,G265,G263,G261,G259,G257,G255,G253,G251,G249,G234,G228,G217,G215,G213,G211,G199,G189,G174,G165)</f>
        <v>10641980</v>
      </c>
      <c r="H287" s="21"/>
      <c r="I287" s="17">
        <f>SUM(I285,I283,I273,I271,I265,I263,I261,I259,I257,I255,I253,I251,I249,I234,I228,I217,I215,I213,I211,I199,I189,I174,I165)</f>
        <v>5604868</v>
      </c>
      <c r="J287" s="21"/>
      <c r="K287" s="17">
        <f t="shared" si="5"/>
        <v>72519723</v>
      </c>
      <c r="L287" s="21"/>
      <c r="M287" s="17">
        <f>SUM(M285,M283,M273,M271,M265,M263,M261,M259,M257,M255,M253,M251,M249,M234,M228,M217,M215,M213,M211,M199,M189,M174,M165)</f>
        <v>35012754</v>
      </c>
      <c r="N287" s="21"/>
      <c r="O287" s="17">
        <f>SUM(O285,O283,O273,O271,O265,O263,O261,O259,O257,O255,O253,O251,O249,O234,O228,O217,O215,O213,O211,O199,O189,O174,O165)</f>
        <v>24506156</v>
      </c>
      <c r="P287" s="21"/>
      <c r="Q287" s="17">
        <f>SUM(Q285,Q283,Q273,Q271,Q265,Q263,Q261,Q259,Q257,Q255,Q253,Q251,Q249,Q234,Q228,Q217,Q215,Q213,Q211,Q199,Q189,Q174,Q165)</f>
        <v>13000813</v>
      </c>
      <c r="R287" s="32" t="s">
        <v>16</v>
      </c>
    </row>
    <row r="288" spans="2:18" s="18" customFormat="1" ht="13.5" customHeight="1">
      <c r="B288" s="19" t="s">
        <v>15</v>
      </c>
      <c r="J288" s="21"/>
      <c r="R288" s="32"/>
    </row>
    <row r="289" spans="1:18" s="18" customFormat="1" ht="13.5" customHeight="1">
      <c r="A289" s="18" t="s">
        <v>230</v>
      </c>
      <c r="B289" s="19" t="s">
        <v>15</v>
      </c>
      <c r="R289" s="32"/>
    </row>
    <row r="290" spans="1:18" s="18" customFormat="1" ht="13.5" customHeight="1">
      <c r="A290" s="18" t="s">
        <v>116</v>
      </c>
      <c r="B290" s="19" t="s">
        <v>15</v>
      </c>
      <c r="C290" s="17">
        <v>54940</v>
      </c>
      <c r="E290" s="17">
        <v>97933</v>
      </c>
      <c r="G290" s="17">
        <v>5844</v>
      </c>
      <c r="I290" s="17">
        <v>0</v>
      </c>
      <c r="K290" s="17">
        <f t="shared" si="5"/>
        <v>158717</v>
      </c>
      <c r="M290" s="17">
        <v>68279</v>
      </c>
      <c r="O290" s="17">
        <v>66415</v>
      </c>
      <c r="Q290" s="17">
        <v>24023</v>
      </c>
      <c r="R290" s="32"/>
    </row>
    <row r="291" spans="2:18" s="18" customFormat="1" ht="13.5" customHeight="1">
      <c r="B291" s="19" t="s">
        <v>15</v>
      </c>
      <c r="R291" s="32"/>
    </row>
    <row r="292" spans="1:18" s="21" customFormat="1" ht="13.5" customHeight="1">
      <c r="A292" s="21" t="s">
        <v>13</v>
      </c>
      <c r="B292" s="22" t="s">
        <v>15</v>
      </c>
      <c r="K292" s="18"/>
      <c r="R292" s="33"/>
    </row>
    <row r="293" spans="1:18" s="21" customFormat="1" ht="13.5" customHeight="1">
      <c r="A293" s="21" t="s">
        <v>293</v>
      </c>
      <c r="B293" s="22"/>
      <c r="C293" s="21">
        <v>0</v>
      </c>
      <c r="E293" s="21">
        <v>0</v>
      </c>
      <c r="G293" s="21">
        <v>116</v>
      </c>
      <c r="I293" s="21">
        <v>0</v>
      </c>
      <c r="K293" s="18">
        <f t="shared" si="5"/>
        <v>116</v>
      </c>
      <c r="M293" s="21">
        <v>0</v>
      </c>
      <c r="O293" s="21">
        <v>116</v>
      </c>
      <c r="Q293" s="25">
        <v>0</v>
      </c>
      <c r="R293" s="33"/>
    </row>
    <row r="294" spans="1:18" s="21" customFormat="1" ht="13.5" customHeight="1">
      <c r="A294" s="21" t="s">
        <v>90</v>
      </c>
      <c r="B294" s="22"/>
      <c r="C294" s="21">
        <v>132</v>
      </c>
      <c r="E294" s="21">
        <v>0</v>
      </c>
      <c r="G294" s="21">
        <v>0</v>
      </c>
      <c r="I294" s="21">
        <v>0</v>
      </c>
      <c r="K294" s="18">
        <f t="shared" si="5"/>
        <v>132</v>
      </c>
      <c r="M294" s="21">
        <v>0</v>
      </c>
      <c r="O294" s="21">
        <v>132</v>
      </c>
      <c r="Q294" s="25">
        <v>0</v>
      </c>
      <c r="R294" s="33"/>
    </row>
    <row r="295" spans="1:18" s="21" customFormat="1" ht="13.5" customHeight="1">
      <c r="A295" s="21" t="s">
        <v>158</v>
      </c>
      <c r="B295" s="22"/>
      <c r="C295" s="21">
        <v>0</v>
      </c>
      <c r="E295" s="21">
        <v>0</v>
      </c>
      <c r="G295" s="21">
        <v>4462</v>
      </c>
      <c r="I295" s="21">
        <v>0</v>
      </c>
      <c r="K295" s="18">
        <f t="shared" si="5"/>
        <v>4462</v>
      </c>
      <c r="M295" s="21">
        <f>305+1</f>
        <v>306</v>
      </c>
      <c r="O295" s="21">
        <v>4156</v>
      </c>
      <c r="Q295" s="25">
        <v>0</v>
      </c>
      <c r="R295" s="33"/>
    </row>
    <row r="296" spans="1:18" s="21" customFormat="1" ht="13.5" customHeight="1">
      <c r="A296" s="21" t="s">
        <v>40</v>
      </c>
      <c r="B296" s="22"/>
      <c r="C296" s="21">
        <v>0</v>
      </c>
      <c r="E296" s="21">
        <v>0</v>
      </c>
      <c r="G296" s="21">
        <v>10667</v>
      </c>
      <c r="I296" s="21">
        <v>0</v>
      </c>
      <c r="K296" s="18">
        <f t="shared" si="5"/>
        <v>10667</v>
      </c>
      <c r="M296" s="21">
        <f>9830+1</f>
        <v>9831</v>
      </c>
      <c r="O296" s="21">
        <v>836</v>
      </c>
      <c r="Q296" s="21">
        <v>0</v>
      </c>
      <c r="R296" s="33"/>
    </row>
    <row r="297" spans="1:18" s="18" customFormat="1" ht="13.5" customHeight="1">
      <c r="A297" s="18" t="s">
        <v>276</v>
      </c>
      <c r="B297" s="19" t="s">
        <v>15</v>
      </c>
      <c r="C297" s="21">
        <v>3848</v>
      </c>
      <c r="E297" s="21">
        <v>0</v>
      </c>
      <c r="G297" s="21">
        <v>0</v>
      </c>
      <c r="I297" s="21">
        <v>0</v>
      </c>
      <c r="K297" s="17">
        <f t="shared" si="5"/>
        <v>3848</v>
      </c>
      <c r="M297" s="21">
        <v>0</v>
      </c>
      <c r="O297" s="21">
        <v>3847</v>
      </c>
      <c r="Q297" s="21">
        <v>1</v>
      </c>
      <c r="R297" s="32"/>
    </row>
    <row r="298" spans="1:18" s="18" customFormat="1" ht="13.5" customHeight="1">
      <c r="A298" s="18" t="s">
        <v>256</v>
      </c>
      <c r="B298" s="19"/>
      <c r="C298" s="20">
        <f>SUM(C293:C297)</f>
        <v>3980</v>
      </c>
      <c r="E298" s="20">
        <f>SUM(E293:E297)</f>
        <v>0</v>
      </c>
      <c r="G298" s="20">
        <f>SUM(G293:G297)</f>
        <v>15245</v>
      </c>
      <c r="I298" s="20">
        <f>SUM(I293:I297)</f>
        <v>0</v>
      </c>
      <c r="K298" s="20">
        <f t="shared" si="5"/>
        <v>19225</v>
      </c>
      <c r="M298" s="20">
        <f>SUM(M293:M297)</f>
        <v>10137</v>
      </c>
      <c r="O298" s="20">
        <f>SUM(O293:O297)</f>
        <v>9087</v>
      </c>
      <c r="Q298" s="20">
        <f>SUM(Q293:Q297)</f>
        <v>1</v>
      </c>
      <c r="R298" s="32"/>
    </row>
    <row r="299" spans="2:18" s="18" customFormat="1" ht="13.5" customHeight="1">
      <c r="B299" s="19"/>
      <c r="C299" s="21"/>
      <c r="E299" s="21"/>
      <c r="G299" s="21"/>
      <c r="I299" s="21"/>
      <c r="M299" s="21"/>
      <c r="O299" s="21"/>
      <c r="Q299" s="21"/>
      <c r="R299" s="32"/>
    </row>
    <row r="300" spans="1:18" s="18" customFormat="1" ht="13.5" customHeight="1">
      <c r="A300" s="18" t="s">
        <v>231</v>
      </c>
      <c r="B300" s="19" t="s">
        <v>15</v>
      </c>
      <c r="R300" s="32"/>
    </row>
    <row r="301" spans="1:18" s="18" customFormat="1" ht="13.5" customHeight="1">
      <c r="A301" s="18" t="s">
        <v>294</v>
      </c>
      <c r="B301" s="19" t="s">
        <v>15</v>
      </c>
      <c r="C301" s="18">
        <v>78198</v>
      </c>
      <c r="E301" s="18">
        <v>0</v>
      </c>
      <c r="G301" s="18">
        <v>3385</v>
      </c>
      <c r="I301" s="18">
        <v>0</v>
      </c>
      <c r="K301" s="18">
        <f t="shared" si="5"/>
        <v>81583</v>
      </c>
      <c r="M301" s="18">
        <v>69281</v>
      </c>
      <c r="O301" s="18">
        <v>5605</v>
      </c>
      <c r="Q301" s="18">
        <v>6697</v>
      </c>
      <c r="R301" s="32"/>
    </row>
    <row r="302" spans="1:18" s="18" customFormat="1" ht="13.5" customHeight="1">
      <c r="A302" s="18" t="s">
        <v>41</v>
      </c>
      <c r="B302" s="19"/>
      <c r="C302" s="18">
        <v>1878</v>
      </c>
      <c r="E302" s="18">
        <v>109926</v>
      </c>
      <c r="G302" s="18">
        <v>0</v>
      </c>
      <c r="I302" s="18">
        <v>0</v>
      </c>
      <c r="K302" s="18">
        <f t="shared" si="5"/>
        <v>111804</v>
      </c>
      <c r="M302" s="18">
        <v>9671</v>
      </c>
      <c r="O302" s="18">
        <v>79366</v>
      </c>
      <c r="Q302" s="18">
        <v>22767</v>
      </c>
      <c r="R302" s="32"/>
    </row>
    <row r="303" spans="1:18" s="18" customFormat="1" ht="13.5" customHeight="1">
      <c r="A303" s="18" t="s">
        <v>68</v>
      </c>
      <c r="B303" s="19" t="s">
        <v>15</v>
      </c>
      <c r="C303" s="17">
        <v>0</v>
      </c>
      <c r="E303" s="17">
        <v>0</v>
      </c>
      <c r="G303" s="17">
        <v>378</v>
      </c>
      <c r="I303" s="17">
        <v>0</v>
      </c>
      <c r="K303" s="17">
        <f t="shared" si="5"/>
        <v>378</v>
      </c>
      <c r="M303" s="17">
        <v>0</v>
      </c>
      <c r="O303" s="17">
        <v>378</v>
      </c>
      <c r="Q303" s="17">
        <v>0</v>
      </c>
      <c r="R303" s="32"/>
    </row>
    <row r="304" spans="1:18" s="18" customFormat="1" ht="13.5" customHeight="1">
      <c r="A304" s="18" t="s">
        <v>255</v>
      </c>
      <c r="B304" s="19" t="s">
        <v>15</v>
      </c>
      <c r="C304" s="17">
        <f>SUM(C301:C303)</f>
        <v>80076</v>
      </c>
      <c r="E304" s="17">
        <f>SUM(E301:E303)</f>
        <v>109926</v>
      </c>
      <c r="G304" s="17">
        <f>SUM(G301:G303)</f>
        <v>3763</v>
      </c>
      <c r="I304" s="17">
        <f>SUM(I301:I303)</f>
        <v>0</v>
      </c>
      <c r="K304" s="20">
        <f t="shared" si="5"/>
        <v>193765</v>
      </c>
      <c r="M304" s="17">
        <f>SUM(M301:M303)</f>
        <v>78952</v>
      </c>
      <c r="O304" s="17">
        <f>SUM(O301:O303)</f>
        <v>85349</v>
      </c>
      <c r="Q304" s="17">
        <f>SUM(Q301:Q303)</f>
        <v>29464</v>
      </c>
      <c r="R304" s="32"/>
    </row>
    <row r="305" spans="2:18" s="18" customFormat="1" ht="13.5" customHeight="1">
      <c r="B305" s="19" t="s">
        <v>15</v>
      </c>
      <c r="M305" s="21"/>
      <c r="R305" s="32"/>
    </row>
    <row r="306" spans="1:18" s="18" customFormat="1" ht="13.5" customHeight="1">
      <c r="A306" s="18" t="s">
        <v>14</v>
      </c>
      <c r="B306" s="19" t="s">
        <v>15</v>
      </c>
      <c r="C306" s="18" t="s">
        <v>15</v>
      </c>
      <c r="E306" s="18" t="s">
        <v>15</v>
      </c>
      <c r="G306" s="18" t="s">
        <v>15</v>
      </c>
      <c r="I306" s="18" t="s">
        <v>15</v>
      </c>
      <c r="M306" s="18" t="s">
        <v>15</v>
      </c>
      <c r="O306" s="18" t="s">
        <v>15</v>
      </c>
      <c r="Q306" s="18" t="s">
        <v>15</v>
      </c>
      <c r="R306" s="32"/>
    </row>
    <row r="307" spans="1:18" s="18" customFormat="1" ht="13.5" customHeight="1">
      <c r="A307" s="18" t="s">
        <v>92</v>
      </c>
      <c r="B307" s="19" t="s">
        <v>15</v>
      </c>
      <c r="C307" s="18">
        <v>12129</v>
      </c>
      <c r="E307" s="18">
        <v>0</v>
      </c>
      <c r="G307" s="18">
        <v>10033</v>
      </c>
      <c r="I307" s="18">
        <v>0</v>
      </c>
      <c r="K307" s="18">
        <f t="shared" si="5"/>
        <v>22162</v>
      </c>
      <c r="M307" s="18">
        <v>18419</v>
      </c>
      <c r="O307" s="18">
        <v>3743</v>
      </c>
      <c r="Q307" s="18">
        <v>0</v>
      </c>
      <c r="R307" s="32"/>
    </row>
    <row r="308" spans="1:18" s="18" customFormat="1" ht="13.5" customHeight="1">
      <c r="A308" s="18" t="s">
        <v>246</v>
      </c>
      <c r="B308" s="19"/>
      <c r="C308" s="18">
        <v>0</v>
      </c>
      <c r="E308" s="18">
        <v>0</v>
      </c>
      <c r="G308" s="18">
        <v>1404</v>
      </c>
      <c r="I308" s="18">
        <v>0</v>
      </c>
      <c r="K308" s="18">
        <f t="shared" si="5"/>
        <v>1404</v>
      </c>
      <c r="M308" s="18">
        <v>0</v>
      </c>
      <c r="O308" s="18">
        <v>1404</v>
      </c>
      <c r="Q308" s="18">
        <v>0</v>
      </c>
      <c r="R308" s="32"/>
    </row>
    <row r="309" spans="1:18" s="18" customFormat="1" ht="13.5" customHeight="1">
      <c r="A309" s="18" t="s">
        <v>45</v>
      </c>
      <c r="B309" s="19" t="s">
        <v>15</v>
      </c>
      <c r="C309" s="18">
        <v>0</v>
      </c>
      <c r="E309" s="18">
        <v>0</v>
      </c>
      <c r="G309" s="18">
        <v>1388</v>
      </c>
      <c r="I309" s="18">
        <v>0</v>
      </c>
      <c r="K309" s="18">
        <f t="shared" si="5"/>
        <v>1388</v>
      </c>
      <c r="M309" s="18">
        <v>0</v>
      </c>
      <c r="O309" s="18">
        <v>1388</v>
      </c>
      <c r="Q309" s="18">
        <v>0</v>
      </c>
      <c r="R309" s="32"/>
    </row>
    <row r="310" spans="1:18" s="18" customFormat="1" ht="13.5" customHeight="1">
      <c r="A310" s="18" t="s">
        <v>46</v>
      </c>
      <c r="B310" s="19"/>
      <c r="C310" s="18">
        <v>0</v>
      </c>
      <c r="E310" s="18">
        <v>0</v>
      </c>
      <c r="G310" s="18">
        <v>7463</v>
      </c>
      <c r="I310" s="18">
        <v>0</v>
      </c>
      <c r="K310" s="18">
        <f t="shared" si="5"/>
        <v>7463</v>
      </c>
      <c r="M310" s="18">
        <v>0</v>
      </c>
      <c r="O310" s="18">
        <v>7463</v>
      </c>
      <c r="Q310" s="18">
        <v>0</v>
      </c>
      <c r="R310" s="32"/>
    </row>
    <row r="311" spans="1:18" s="18" customFormat="1" ht="13.5" customHeight="1">
      <c r="A311" s="18" t="s">
        <v>96</v>
      </c>
      <c r="B311" s="19" t="s">
        <v>15</v>
      </c>
      <c r="C311" s="18">
        <v>34000</v>
      </c>
      <c r="E311" s="18">
        <v>535512</v>
      </c>
      <c r="G311" s="18">
        <v>4065</v>
      </c>
      <c r="I311" s="18">
        <v>4874</v>
      </c>
      <c r="K311" s="18">
        <f t="shared" si="5"/>
        <v>578451</v>
      </c>
      <c r="M311" s="18">
        <v>384731</v>
      </c>
      <c r="O311" s="18">
        <v>24397</v>
      </c>
      <c r="Q311" s="18">
        <v>169323</v>
      </c>
      <c r="R311" s="32"/>
    </row>
    <row r="312" spans="1:18" s="18" customFormat="1" ht="13.5" customHeight="1">
      <c r="A312" s="18" t="s">
        <v>49</v>
      </c>
      <c r="B312" s="19" t="s">
        <v>15</v>
      </c>
      <c r="C312" s="18">
        <v>0</v>
      </c>
      <c r="E312" s="18">
        <v>0</v>
      </c>
      <c r="G312" s="18">
        <v>2963</v>
      </c>
      <c r="I312" s="18">
        <v>0</v>
      </c>
      <c r="K312" s="18">
        <f t="shared" si="5"/>
        <v>2963</v>
      </c>
      <c r="M312" s="18">
        <v>0</v>
      </c>
      <c r="O312" s="18">
        <v>2963</v>
      </c>
      <c r="Q312" s="18">
        <v>0</v>
      </c>
      <c r="R312" s="32"/>
    </row>
    <row r="313" spans="1:18" s="18" customFormat="1" ht="13.5" customHeight="1">
      <c r="A313" s="18" t="s">
        <v>41</v>
      </c>
      <c r="B313" s="19"/>
      <c r="C313" s="18">
        <v>0</v>
      </c>
      <c r="E313" s="18">
        <v>0</v>
      </c>
      <c r="G313" s="18">
        <v>882</v>
      </c>
      <c r="I313" s="18">
        <v>0</v>
      </c>
      <c r="K313" s="18">
        <f t="shared" si="5"/>
        <v>882</v>
      </c>
      <c r="M313" s="18">
        <v>0</v>
      </c>
      <c r="O313" s="18">
        <v>882</v>
      </c>
      <c r="Q313" s="18">
        <v>0</v>
      </c>
      <c r="R313" s="32"/>
    </row>
    <row r="314" spans="1:18" s="18" customFormat="1" ht="13.5" customHeight="1">
      <c r="A314" s="18" t="s">
        <v>50</v>
      </c>
      <c r="B314" s="19" t="s">
        <v>15</v>
      </c>
      <c r="C314" s="18">
        <v>7658</v>
      </c>
      <c r="E314" s="18">
        <v>0</v>
      </c>
      <c r="G314" s="18">
        <v>0</v>
      </c>
      <c r="I314" s="18">
        <v>0</v>
      </c>
      <c r="K314" s="18">
        <f t="shared" si="5"/>
        <v>7658</v>
      </c>
      <c r="M314" s="21">
        <v>0</v>
      </c>
      <c r="O314" s="18">
        <v>7658</v>
      </c>
      <c r="Q314" s="18">
        <v>0</v>
      </c>
      <c r="R314" s="32"/>
    </row>
    <row r="315" spans="1:18" s="21" customFormat="1" ht="13.5" customHeight="1">
      <c r="A315" s="21" t="s">
        <v>53</v>
      </c>
      <c r="B315" s="22" t="s">
        <v>15</v>
      </c>
      <c r="C315" s="21">
        <v>2622</v>
      </c>
      <c r="E315" s="21">
        <v>0</v>
      </c>
      <c r="G315" s="21">
        <v>33625</v>
      </c>
      <c r="I315" s="21">
        <v>0</v>
      </c>
      <c r="K315" s="18">
        <f t="shared" si="5"/>
        <v>36247</v>
      </c>
      <c r="M315" s="21">
        <v>34552</v>
      </c>
      <c r="O315" s="21">
        <v>0</v>
      </c>
      <c r="Q315" s="21">
        <v>1695</v>
      </c>
      <c r="R315" s="33"/>
    </row>
    <row r="316" spans="1:18" s="18" customFormat="1" ht="13.5" customHeight="1">
      <c r="A316" s="18" t="s">
        <v>97</v>
      </c>
      <c r="B316" s="19"/>
      <c r="C316" s="17">
        <v>0</v>
      </c>
      <c r="E316" s="17">
        <v>0</v>
      </c>
      <c r="G316" s="17">
        <v>14240</v>
      </c>
      <c r="I316" s="17">
        <v>0</v>
      </c>
      <c r="K316" s="17">
        <f t="shared" si="5"/>
        <v>14240</v>
      </c>
      <c r="M316" s="17">
        <v>14240</v>
      </c>
      <c r="O316" s="17">
        <v>0</v>
      </c>
      <c r="Q316" s="17">
        <v>0</v>
      </c>
      <c r="R316" s="32"/>
    </row>
    <row r="317" spans="1:18" s="18" customFormat="1" ht="13.5" customHeight="1">
      <c r="A317" s="18" t="s">
        <v>165</v>
      </c>
      <c r="B317" s="19" t="s">
        <v>15</v>
      </c>
      <c r="C317" s="17">
        <f>SUM(C307:C316)</f>
        <v>56409</v>
      </c>
      <c r="E317" s="17">
        <f>SUM(E307:E316)</f>
        <v>535512</v>
      </c>
      <c r="G317" s="17">
        <f>SUM(G307:G316)</f>
        <v>76063</v>
      </c>
      <c r="I317" s="17">
        <f>SUM(I307:I316)</f>
        <v>4874</v>
      </c>
      <c r="K317" s="20">
        <f t="shared" si="5"/>
        <v>672858</v>
      </c>
      <c r="M317" s="17">
        <f>SUM(M307:M316)</f>
        <v>451942</v>
      </c>
      <c r="O317" s="17">
        <f>SUM(O307:O316)</f>
        <v>49898</v>
      </c>
      <c r="Q317" s="17">
        <f>SUM(Q307:Q316)</f>
        <v>171018</v>
      </c>
      <c r="R317" s="32"/>
    </row>
    <row r="318" spans="2:18" s="18" customFormat="1" ht="13.5" customHeight="1">
      <c r="B318" s="19" t="s">
        <v>15</v>
      </c>
      <c r="R318" s="32"/>
    </row>
    <row r="319" spans="1:18" s="18" customFormat="1" ht="13.5" customHeight="1">
      <c r="A319" s="18" t="s">
        <v>17</v>
      </c>
      <c r="B319" s="19" t="s">
        <v>15</v>
      </c>
      <c r="C319" s="18" t="s">
        <v>15</v>
      </c>
      <c r="E319" s="18" t="s">
        <v>15</v>
      </c>
      <c r="G319" s="18" t="s">
        <v>15</v>
      </c>
      <c r="I319" s="18" t="s">
        <v>15</v>
      </c>
      <c r="M319" s="18" t="s">
        <v>15</v>
      </c>
      <c r="O319" s="18" t="s">
        <v>15</v>
      </c>
      <c r="Q319" s="18" t="s">
        <v>15</v>
      </c>
      <c r="R319" s="32"/>
    </row>
    <row r="320" spans="1:18" s="18" customFormat="1" ht="13.5" customHeight="1">
      <c r="A320" s="18" t="s">
        <v>271</v>
      </c>
      <c r="B320" s="19"/>
      <c r="C320" s="18">
        <v>0</v>
      </c>
      <c r="E320" s="18">
        <v>21971</v>
      </c>
      <c r="G320" s="18">
        <v>0</v>
      </c>
      <c r="I320" s="18">
        <v>0</v>
      </c>
      <c r="K320" s="18">
        <f t="shared" si="5"/>
        <v>21971</v>
      </c>
      <c r="M320" s="18">
        <v>21971</v>
      </c>
      <c r="O320" s="18">
        <v>0</v>
      </c>
      <c r="Q320" s="18">
        <v>0</v>
      </c>
      <c r="R320" s="32"/>
    </row>
    <row r="321" spans="1:18" s="18" customFormat="1" ht="13.5" customHeight="1">
      <c r="A321" s="18" t="s">
        <v>58</v>
      </c>
      <c r="B321" s="19" t="s">
        <v>15</v>
      </c>
      <c r="C321" s="17">
        <v>0</v>
      </c>
      <c r="E321" s="17">
        <v>127000</v>
      </c>
      <c r="G321" s="17">
        <v>0</v>
      </c>
      <c r="I321" s="17">
        <v>0</v>
      </c>
      <c r="K321" s="17">
        <f t="shared" si="5"/>
        <v>127000</v>
      </c>
      <c r="M321" s="17">
        <v>0</v>
      </c>
      <c r="O321" s="17">
        <v>127000</v>
      </c>
      <c r="Q321" s="17">
        <v>0</v>
      </c>
      <c r="R321" s="32"/>
    </row>
    <row r="322" spans="1:18" s="18" customFormat="1" ht="13.5" customHeight="1">
      <c r="A322" s="18" t="s">
        <v>166</v>
      </c>
      <c r="B322" s="19" t="s">
        <v>15</v>
      </c>
      <c r="C322" s="17">
        <f>SUM(C320:C321)</f>
        <v>0</v>
      </c>
      <c r="E322" s="17">
        <f>SUM(E320:E321)</f>
        <v>148971</v>
      </c>
      <c r="G322" s="17">
        <f>SUM(G320:G321)</f>
        <v>0</v>
      </c>
      <c r="I322" s="17">
        <f>SUM(I320:I321)</f>
        <v>0</v>
      </c>
      <c r="K322" s="20">
        <f t="shared" si="5"/>
        <v>148971</v>
      </c>
      <c r="M322" s="17">
        <f>SUM(M320:M321)</f>
        <v>21971</v>
      </c>
      <c r="O322" s="17">
        <f>SUM(O320:O321)</f>
        <v>127000</v>
      </c>
      <c r="Q322" s="17">
        <f>SUM(Q320:Q321)</f>
        <v>0</v>
      </c>
      <c r="R322" s="32"/>
    </row>
    <row r="323" spans="2:18" s="18" customFormat="1" ht="13.5" customHeight="1">
      <c r="B323" s="19" t="s">
        <v>15</v>
      </c>
      <c r="R323" s="32"/>
    </row>
    <row r="324" spans="1:18" s="18" customFormat="1" ht="13.5" customHeight="1">
      <c r="A324" s="18" t="s">
        <v>18</v>
      </c>
      <c r="B324" s="19" t="s">
        <v>15</v>
      </c>
      <c r="C324" s="18" t="s">
        <v>15</v>
      </c>
      <c r="E324" s="18" t="s">
        <v>15</v>
      </c>
      <c r="G324" s="18" t="s">
        <v>15</v>
      </c>
      <c r="I324" s="18" t="s">
        <v>15</v>
      </c>
      <c r="M324" s="18" t="s">
        <v>15</v>
      </c>
      <c r="O324" s="18" t="s">
        <v>15</v>
      </c>
      <c r="Q324" s="18" t="s">
        <v>15</v>
      </c>
      <c r="R324" s="32"/>
    </row>
    <row r="325" spans="1:18" s="18" customFormat="1" ht="13.5" customHeight="1">
      <c r="A325" s="18" t="s">
        <v>289</v>
      </c>
      <c r="B325" s="19" t="s">
        <v>15</v>
      </c>
      <c r="C325" s="18">
        <v>555969</v>
      </c>
      <c r="E325" s="18">
        <v>240516</v>
      </c>
      <c r="G325" s="18">
        <v>0</v>
      </c>
      <c r="I325" s="18">
        <v>1355</v>
      </c>
      <c r="K325" s="18">
        <f t="shared" si="5"/>
        <v>797840</v>
      </c>
      <c r="M325" s="18">
        <v>568492</v>
      </c>
      <c r="O325" s="18">
        <f>117875+1</f>
        <v>117876</v>
      </c>
      <c r="Q325" s="18">
        <v>111472</v>
      </c>
      <c r="R325" s="32"/>
    </row>
    <row r="326" spans="1:18" s="18" customFormat="1" ht="13.5" customHeight="1">
      <c r="A326" s="18" t="s">
        <v>206</v>
      </c>
      <c r="B326" s="19"/>
      <c r="C326" s="18">
        <v>1121576</v>
      </c>
      <c r="E326" s="18">
        <v>0</v>
      </c>
      <c r="G326" s="18">
        <v>0</v>
      </c>
      <c r="I326" s="18">
        <v>0</v>
      </c>
      <c r="K326" s="18">
        <f t="shared" si="5"/>
        <v>1121576</v>
      </c>
      <c r="M326" s="18">
        <v>622290</v>
      </c>
      <c r="O326" s="18">
        <f>343493+1</f>
        <v>343494</v>
      </c>
      <c r="Q326" s="18">
        <v>155792</v>
      </c>
      <c r="R326" s="32"/>
    </row>
    <row r="327" spans="1:18" s="18" customFormat="1" ht="13.5" customHeight="1">
      <c r="A327" s="18" t="s">
        <v>41</v>
      </c>
      <c r="B327" s="19" t="s">
        <v>15</v>
      </c>
      <c r="C327" s="18">
        <v>0</v>
      </c>
      <c r="E327" s="18">
        <v>0</v>
      </c>
      <c r="G327" s="18">
        <v>54160</v>
      </c>
      <c r="I327" s="18">
        <v>0</v>
      </c>
      <c r="K327" s="17">
        <f t="shared" si="5"/>
        <v>54160</v>
      </c>
      <c r="M327" s="18">
        <v>43825</v>
      </c>
      <c r="O327" s="18">
        <v>10335</v>
      </c>
      <c r="Q327" s="18">
        <v>0</v>
      </c>
      <c r="R327" s="32"/>
    </row>
    <row r="328" spans="1:18" s="18" customFormat="1" ht="13.5" customHeight="1">
      <c r="A328" s="18" t="s">
        <v>183</v>
      </c>
      <c r="B328" s="19" t="s">
        <v>15</v>
      </c>
      <c r="C328" s="20">
        <f>SUM(C325:C327)</f>
        <v>1677545</v>
      </c>
      <c r="E328" s="20">
        <f>SUM(E325:E327)</f>
        <v>240516</v>
      </c>
      <c r="G328" s="20">
        <f>SUM(G325:G327)</f>
        <v>54160</v>
      </c>
      <c r="I328" s="20">
        <f>SUM(I325:I327)</f>
        <v>1355</v>
      </c>
      <c r="K328" s="20">
        <f t="shared" si="5"/>
        <v>1973576</v>
      </c>
      <c r="M328" s="20">
        <f>SUM(M325:M327)</f>
        <v>1234607</v>
      </c>
      <c r="O328" s="20">
        <f>SUM(O325:O327)</f>
        <v>471705</v>
      </c>
      <c r="Q328" s="20">
        <f>SUM(Q325:Q327)</f>
        <v>267264</v>
      </c>
      <c r="R328" s="32"/>
    </row>
    <row r="329" spans="2:18" s="18" customFormat="1" ht="13.5" customHeight="1">
      <c r="B329" s="19"/>
      <c r="C329" s="21"/>
      <c r="E329" s="21"/>
      <c r="G329" s="21"/>
      <c r="I329" s="21"/>
      <c r="M329" s="21"/>
      <c r="O329" s="21"/>
      <c r="Q329" s="21"/>
      <c r="R329" s="32"/>
    </row>
    <row r="330" spans="1:18" s="18" customFormat="1" ht="13.5" customHeight="1">
      <c r="A330" s="18" t="s">
        <v>212</v>
      </c>
      <c r="B330" s="19"/>
      <c r="C330" s="17">
        <v>18079</v>
      </c>
      <c r="E330" s="17">
        <v>0</v>
      </c>
      <c r="G330" s="17">
        <v>123059</v>
      </c>
      <c r="I330" s="17">
        <v>0</v>
      </c>
      <c r="K330" s="17">
        <f t="shared" si="5"/>
        <v>141138</v>
      </c>
      <c r="M330" s="17">
        <v>9459</v>
      </c>
      <c r="O330" s="17">
        <v>129674</v>
      </c>
      <c r="Q330" s="17">
        <v>2005</v>
      </c>
      <c r="R330" s="32"/>
    </row>
    <row r="331" spans="2:18" s="18" customFormat="1" ht="13.5" customHeight="1">
      <c r="B331" s="19" t="s">
        <v>15</v>
      </c>
      <c r="R331" s="32"/>
    </row>
    <row r="332" spans="1:18" s="18" customFormat="1" ht="13.5" customHeight="1">
      <c r="A332" s="18" t="s">
        <v>217</v>
      </c>
      <c r="B332" s="19" t="s">
        <v>15</v>
      </c>
      <c r="C332" s="17">
        <v>58554</v>
      </c>
      <c r="E332" s="17">
        <v>0</v>
      </c>
      <c r="G332" s="17">
        <v>0</v>
      </c>
      <c r="I332" s="17">
        <v>49541</v>
      </c>
      <c r="K332" s="17">
        <f t="shared" si="5"/>
        <v>108095</v>
      </c>
      <c r="M332" s="17">
        <v>30478</v>
      </c>
      <c r="O332" s="17">
        <v>65259</v>
      </c>
      <c r="Q332" s="17">
        <v>12358</v>
      </c>
      <c r="R332" s="32"/>
    </row>
    <row r="333" spans="2:18" s="18" customFormat="1" ht="13.5" customHeight="1">
      <c r="B333" s="19"/>
      <c r="C333" s="21"/>
      <c r="E333" s="21"/>
      <c r="G333" s="21"/>
      <c r="I333" s="21"/>
      <c r="M333" s="21"/>
      <c r="O333" s="21"/>
      <c r="Q333" s="21"/>
      <c r="R333" s="32"/>
    </row>
    <row r="334" spans="1:18" s="18" customFormat="1" ht="13.5" customHeight="1">
      <c r="A334" s="18" t="s">
        <v>232</v>
      </c>
      <c r="B334" s="19"/>
      <c r="C334" s="17">
        <v>23985</v>
      </c>
      <c r="E334" s="17">
        <v>0</v>
      </c>
      <c r="G334" s="17">
        <v>0</v>
      </c>
      <c r="I334" s="17">
        <v>1173757</v>
      </c>
      <c r="K334" s="17">
        <f t="shared" si="5"/>
        <v>1197742</v>
      </c>
      <c r="M334" s="17">
        <v>1113012</v>
      </c>
      <c r="O334" s="17">
        <v>84730</v>
      </c>
      <c r="Q334" s="17">
        <v>0</v>
      </c>
      <c r="R334" s="32"/>
    </row>
    <row r="335" spans="2:18" s="18" customFormat="1" ht="13.5" customHeight="1">
      <c r="B335" s="19"/>
      <c r="C335" s="21"/>
      <c r="E335" s="21"/>
      <c r="G335" s="21"/>
      <c r="I335" s="21"/>
      <c r="M335" s="21"/>
      <c r="O335" s="21"/>
      <c r="Q335" s="21"/>
      <c r="R335" s="32"/>
    </row>
    <row r="336" spans="1:18" s="18" customFormat="1" ht="13.5" customHeight="1">
      <c r="A336" s="18" t="s">
        <v>233</v>
      </c>
      <c r="B336" s="19"/>
      <c r="C336" s="17">
        <v>0</v>
      </c>
      <c r="E336" s="17">
        <v>0</v>
      </c>
      <c r="G336" s="17">
        <v>14719</v>
      </c>
      <c r="I336" s="17">
        <v>0</v>
      </c>
      <c r="K336" s="17">
        <f t="shared" si="5"/>
        <v>14719</v>
      </c>
      <c r="M336" s="17">
        <v>13718</v>
      </c>
      <c r="O336" s="17">
        <f>1000+1</f>
        <v>1001</v>
      </c>
      <c r="Q336" s="17">
        <v>0</v>
      </c>
      <c r="R336" s="32"/>
    </row>
    <row r="337" spans="2:18" s="18" customFormat="1" ht="13.5" customHeight="1">
      <c r="B337" s="19"/>
      <c r="C337" s="21"/>
      <c r="E337" s="21"/>
      <c r="G337" s="21"/>
      <c r="I337" s="21"/>
      <c r="M337" s="21"/>
      <c r="O337" s="21"/>
      <c r="Q337" s="21"/>
      <c r="R337" s="32"/>
    </row>
    <row r="338" spans="1:18" s="18" customFormat="1" ht="13.5" customHeight="1">
      <c r="A338" s="18" t="s">
        <v>218</v>
      </c>
      <c r="B338" s="19"/>
      <c r="C338" s="21"/>
      <c r="E338" s="21"/>
      <c r="G338" s="21"/>
      <c r="I338" s="21"/>
      <c r="M338" s="21"/>
      <c r="O338" s="21"/>
      <c r="Q338" s="21"/>
      <c r="R338" s="32"/>
    </row>
    <row r="339" spans="1:18" s="18" customFormat="1" ht="13.5" customHeight="1">
      <c r="A339" s="18" t="s">
        <v>176</v>
      </c>
      <c r="B339" s="19"/>
      <c r="C339" s="21">
        <v>49567</v>
      </c>
      <c r="E339" s="21">
        <v>0</v>
      </c>
      <c r="G339" s="21">
        <v>0</v>
      </c>
      <c r="I339" s="21">
        <v>0</v>
      </c>
      <c r="K339" s="18">
        <f t="shared" si="5"/>
        <v>49567</v>
      </c>
      <c r="M339" s="21">
        <v>42365</v>
      </c>
      <c r="O339" s="21">
        <v>0</v>
      </c>
      <c r="Q339" s="21">
        <v>7202</v>
      </c>
      <c r="R339" s="32"/>
    </row>
    <row r="340" spans="1:18" s="18" customFormat="1" ht="13.5" customHeight="1">
      <c r="A340" s="18" t="s">
        <v>268</v>
      </c>
      <c r="B340" s="19"/>
      <c r="C340" s="21">
        <v>0</v>
      </c>
      <c r="E340" s="21">
        <v>0</v>
      </c>
      <c r="G340" s="21">
        <v>5401</v>
      </c>
      <c r="I340" s="21">
        <v>0</v>
      </c>
      <c r="K340" s="18">
        <f t="shared" si="5"/>
        <v>5401</v>
      </c>
      <c r="M340" s="21">
        <v>3211</v>
      </c>
      <c r="O340" s="21">
        <v>2190</v>
      </c>
      <c r="Q340" s="21">
        <v>0</v>
      </c>
      <c r="R340" s="32"/>
    </row>
    <row r="341" spans="1:18" s="18" customFormat="1" ht="13.5" customHeight="1">
      <c r="A341" s="18" t="s">
        <v>295</v>
      </c>
      <c r="B341" s="19"/>
      <c r="C341" s="21">
        <v>0</v>
      </c>
      <c r="E341" s="21">
        <v>0</v>
      </c>
      <c r="G341" s="21">
        <v>3200</v>
      </c>
      <c r="I341" s="21">
        <v>0</v>
      </c>
      <c r="K341" s="17">
        <f t="shared" si="5"/>
        <v>3200</v>
      </c>
      <c r="M341" s="21">
        <v>0</v>
      </c>
      <c r="O341" s="21">
        <v>3200</v>
      </c>
      <c r="Q341" s="21">
        <v>0</v>
      </c>
      <c r="R341" s="32"/>
    </row>
    <row r="342" spans="1:18" s="18" customFormat="1" ht="13.5" customHeight="1">
      <c r="A342" s="18" t="s">
        <v>229</v>
      </c>
      <c r="B342" s="19"/>
      <c r="C342" s="20">
        <f>SUM(C339:C341)</f>
        <v>49567</v>
      </c>
      <c r="E342" s="20">
        <f>SUM(E339:E341)</f>
        <v>0</v>
      </c>
      <c r="G342" s="20">
        <f>SUM(G339:G341)</f>
        <v>8601</v>
      </c>
      <c r="I342" s="20">
        <f>SUM(I339:I341)</f>
        <v>0</v>
      </c>
      <c r="K342" s="20">
        <f aca="true" t="shared" si="6" ref="K342:K403">IF(SUM(C342:I342)=SUM(M342:Q342),SUM(C342:I342),SUM(M342:Q342)-SUM(C342:I342))</f>
        <v>58168</v>
      </c>
      <c r="M342" s="20">
        <f>SUM(M339:M341)</f>
        <v>45576</v>
      </c>
      <c r="O342" s="20">
        <f>SUM(O339:O341)</f>
        <v>5390</v>
      </c>
      <c r="Q342" s="20">
        <f>SUM(Q339:Q341)</f>
        <v>7202</v>
      </c>
      <c r="R342" s="32"/>
    </row>
    <row r="343" spans="2:18" s="18" customFormat="1" ht="13.5" customHeight="1">
      <c r="B343" s="19" t="s">
        <v>15</v>
      </c>
      <c r="R343" s="32"/>
    </row>
    <row r="344" spans="1:18" s="18" customFormat="1" ht="13.5" customHeight="1">
      <c r="A344" s="18" t="s">
        <v>19</v>
      </c>
      <c r="B344" s="19" t="s">
        <v>15</v>
      </c>
      <c r="R344" s="32"/>
    </row>
    <row r="345" spans="1:18" s="18" customFormat="1" ht="13.5" customHeight="1">
      <c r="A345" s="18" t="s">
        <v>290</v>
      </c>
      <c r="B345" s="19" t="s">
        <v>15</v>
      </c>
      <c r="C345" s="17">
        <v>0</v>
      </c>
      <c r="E345" s="17">
        <v>0</v>
      </c>
      <c r="G345" s="17">
        <v>39431</v>
      </c>
      <c r="I345" s="17">
        <v>140301</v>
      </c>
      <c r="K345" s="17">
        <f t="shared" si="6"/>
        <v>179732</v>
      </c>
      <c r="M345" s="17">
        <v>11601</v>
      </c>
      <c r="O345" s="17">
        <v>168131</v>
      </c>
      <c r="Q345" s="17">
        <v>0</v>
      </c>
      <c r="R345" s="32"/>
    </row>
    <row r="346" spans="2:18" s="18" customFormat="1" ht="13.5" customHeight="1">
      <c r="B346" s="19" t="s">
        <v>15</v>
      </c>
      <c r="R346" s="32"/>
    </row>
    <row r="347" spans="1:18" s="18" customFormat="1" ht="13.5" customHeight="1">
      <c r="A347" s="18" t="s">
        <v>196</v>
      </c>
      <c r="B347" s="19" t="s">
        <v>15</v>
      </c>
      <c r="C347" s="17">
        <v>0</v>
      </c>
      <c r="E347" s="17">
        <v>0</v>
      </c>
      <c r="G347" s="17">
        <v>11102</v>
      </c>
      <c r="I347" s="17">
        <v>0</v>
      </c>
      <c r="K347" s="17">
        <f t="shared" si="6"/>
        <v>11102</v>
      </c>
      <c r="M347" s="17">
        <v>6874</v>
      </c>
      <c r="O347" s="17">
        <f>3214-1</f>
        <v>3213</v>
      </c>
      <c r="Q347" s="17">
        <v>1015</v>
      </c>
      <c r="R347" s="32"/>
    </row>
    <row r="348" spans="2:18" s="18" customFormat="1" ht="13.5" customHeight="1">
      <c r="B348" s="19" t="s">
        <v>15</v>
      </c>
      <c r="R348" s="32"/>
    </row>
    <row r="349" spans="1:18" s="18" customFormat="1" ht="13.5" customHeight="1">
      <c r="A349" s="18" t="s">
        <v>20</v>
      </c>
      <c r="B349" s="19" t="s">
        <v>15</v>
      </c>
      <c r="C349" s="18" t="s">
        <v>15</v>
      </c>
      <c r="E349" s="18" t="s">
        <v>15</v>
      </c>
      <c r="G349" s="18" t="s">
        <v>15</v>
      </c>
      <c r="I349" s="18" t="s">
        <v>15</v>
      </c>
      <c r="M349" s="18" t="s">
        <v>15</v>
      </c>
      <c r="O349" s="18" t="s">
        <v>15</v>
      </c>
      <c r="Q349" s="18" t="s">
        <v>15</v>
      </c>
      <c r="R349" s="32"/>
    </row>
    <row r="350" spans="1:18" s="18" customFormat="1" ht="13.5" customHeight="1">
      <c r="A350" s="18" t="s">
        <v>309</v>
      </c>
      <c r="B350" s="19"/>
      <c r="C350" s="18">
        <v>0</v>
      </c>
      <c r="E350" s="18">
        <v>65589</v>
      </c>
      <c r="G350" s="18">
        <v>33921</v>
      </c>
      <c r="I350" s="18">
        <v>0</v>
      </c>
      <c r="K350" s="18">
        <f t="shared" si="6"/>
        <v>99510</v>
      </c>
      <c r="M350" s="18">
        <v>71281</v>
      </c>
      <c r="O350" s="18">
        <v>4175</v>
      </c>
      <c r="Q350" s="18">
        <v>24054</v>
      </c>
      <c r="R350" s="32"/>
    </row>
    <row r="351" spans="1:18" s="18" customFormat="1" ht="13.5" customHeight="1">
      <c r="A351" s="18" t="s">
        <v>41</v>
      </c>
      <c r="B351" s="19"/>
      <c r="C351" s="18">
        <v>0</v>
      </c>
      <c r="E351" s="18">
        <v>576274</v>
      </c>
      <c r="G351" s="18">
        <v>61081</v>
      </c>
      <c r="I351" s="18">
        <v>0</v>
      </c>
      <c r="K351" s="17">
        <f t="shared" si="6"/>
        <v>637355</v>
      </c>
      <c r="M351" s="18">
        <v>235119</v>
      </c>
      <c r="O351" s="18">
        <v>365515</v>
      </c>
      <c r="Q351" s="18">
        <v>36721</v>
      </c>
      <c r="R351" s="32"/>
    </row>
    <row r="352" spans="1:18" s="18" customFormat="1" ht="13.5" customHeight="1">
      <c r="A352" s="18" t="s">
        <v>169</v>
      </c>
      <c r="B352" s="19" t="s">
        <v>15</v>
      </c>
      <c r="C352" s="20">
        <f>SUM(C350:C351)</f>
        <v>0</v>
      </c>
      <c r="E352" s="20">
        <f>SUM(E350:E351)</f>
        <v>641863</v>
      </c>
      <c r="G352" s="20">
        <f>SUM(G350:G351)</f>
        <v>95002</v>
      </c>
      <c r="I352" s="20">
        <f>SUM(I350:I351)</f>
        <v>0</v>
      </c>
      <c r="K352" s="20">
        <f t="shared" si="6"/>
        <v>736865</v>
      </c>
      <c r="M352" s="20">
        <f>SUM(M350:M351)</f>
        <v>306400</v>
      </c>
      <c r="O352" s="20">
        <f>SUM(O350:O351)</f>
        <v>369690</v>
      </c>
      <c r="Q352" s="20">
        <f>SUM(Q350:Q351)</f>
        <v>60775</v>
      </c>
      <c r="R352" s="32"/>
    </row>
    <row r="353" spans="2:18" s="18" customFormat="1" ht="13.5" customHeight="1">
      <c r="B353" s="19" t="s">
        <v>15</v>
      </c>
      <c r="R353" s="32"/>
    </row>
    <row r="354" spans="1:18" s="18" customFormat="1" ht="13.5" customHeight="1">
      <c r="A354" s="18" t="s">
        <v>21</v>
      </c>
      <c r="B354" s="19" t="s">
        <v>15</v>
      </c>
      <c r="E354" s="18" t="s">
        <v>15</v>
      </c>
      <c r="G354" s="18" t="s">
        <v>15</v>
      </c>
      <c r="I354" s="18" t="s">
        <v>15</v>
      </c>
      <c r="M354" s="18" t="s">
        <v>15</v>
      </c>
      <c r="O354" s="18" t="s">
        <v>15</v>
      </c>
      <c r="Q354" s="18" t="s">
        <v>15</v>
      </c>
      <c r="R354" s="32"/>
    </row>
    <row r="355" spans="1:18" s="18" customFormat="1" ht="13.5" customHeight="1">
      <c r="A355" s="18" t="s">
        <v>71</v>
      </c>
      <c r="B355" s="19"/>
      <c r="C355" s="18">
        <v>0</v>
      </c>
      <c r="E355" s="18">
        <v>0</v>
      </c>
      <c r="G355" s="18">
        <v>31761</v>
      </c>
      <c r="I355" s="18">
        <v>0</v>
      </c>
      <c r="K355" s="18">
        <f t="shared" si="6"/>
        <v>31761</v>
      </c>
      <c r="M355" s="18">
        <v>14145</v>
      </c>
      <c r="O355" s="18">
        <f>5312-1</f>
        <v>5311</v>
      </c>
      <c r="Q355" s="18">
        <v>12305</v>
      </c>
      <c r="R355" s="32"/>
    </row>
    <row r="356" spans="1:18" s="18" customFormat="1" ht="13.5" customHeight="1">
      <c r="A356" s="18" t="s">
        <v>104</v>
      </c>
      <c r="B356" s="19" t="s">
        <v>15</v>
      </c>
      <c r="C356" s="18">
        <v>8100</v>
      </c>
      <c r="E356" s="18">
        <v>260660</v>
      </c>
      <c r="G356" s="18">
        <v>0</v>
      </c>
      <c r="I356" s="18">
        <v>0</v>
      </c>
      <c r="K356" s="18">
        <f t="shared" si="6"/>
        <v>268760</v>
      </c>
      <c r="M356" s="18">
        <v>268760</v>
      </c>
      <c r="O356" s="18">
        <v>0</v>
      </c>
      <c r="Q356" s="18">
        <v>0</v>
      </c>
      <c r="R356" s="32"/>
    </row>
    <row r="357" spans="1:18" s="18" customFormat="1" ht="13.5" customHeight="1">
      <c r="A357" s="18" t="s">
        <v>243</v>
      </c>
      <c r="B357" s="19"/>
      <c r="C357" s="18">
        <v>0</v>
      </c>
      <c r="E357" s="18">
        <v>0</v>
      </c>
      <c r="G357" s="18">
        <v>0</v>
      </c>
      <c r="I357" s="18">
        <v>34250</v>
      </c>
      <c r="K357" s="18">
        <f t="shared" si="6"/>
        <v>34250</v>
      </c>
      <c r="M357" s="18">
        <v>0</v>
      </c>
      <c r="O357" s="18">
        <v>34250</v>
      </c>
      <c r="Q357" s="18">
        <v>0</v>
      </c>
      <c r="R357" s="32"/>
    </row>
    <row r="358" spans="1:18" s="18" customFormat="1" ht="13.5" customHeight="1">
      <c r="A358" s="18" t="s">
        <v>74</v>
      </c>
      <c r="B358" s="19" t="s">
        <v>15</v>
      </c>
      <c r="C358" s="17">
        <v>0</v>
      </c>
      <c r="E358" s="17">
        <v>0</v>
      </c>
      <c r="G358" s="17">
        <v>0</v>
      </c>
      <c r="I358" s="17">
        <v>235678</v>
      </c>
      <c r="K358" s="17">
        <f t="shared" si="6"/>
        <v>235678</v>
      </c>
      <c r="M358" s="17">
        <v>191514</v>
      </c>
      <c r="O358" s="17">
        <v>44164</v>
      </c>
      <c r="Q358" s="17">
        <v>0</v>
      </c>
      <c r="R358" s="32"/>
    </row>
    <row r="359" spans="1:18" s="18" customFormat="1" ht="13.5" customHeight="1">
      <c r="A359" s="18" t="s">
        <v>181</v>
      </c>
      <c r="B359" s="19" t="s">
        <v>15</v>
      </c>
      <c r="C359" s="17">
        <f>SUM(C355:C358)</f>
        <v>8100</v>
      </c>
      <c r="E359" s="17">
        <f>SUM(E355:E358)</f>
        <v>260660</v>
      </c>
      <c r="G359" s="17">
        <f>SUM(G355:G358)</f>
        <v>31761</v>
      </c>
      <c r="I359" s="17">
        <f>SUM(I356:I358)</f>
        <v>269928</v>
      </c>
      <c r="K359" s="20">
        <f t="shared" si="6"/>
        <v>570449</v>
      </c>
      <c r="M359" s="17">
        <f>SUM(M355:M358)</f>
        <v>474419</v>
      </c>
      <c r="O359" s="17">
        <f>SUM(O355:O358)</f>
        <v>83725</v>
      </c>
      <c r="Q359" s="17">
        <f>SUM(Q355:Q358)</f>
        <v>12305</v>
      </c>
      <c r="R359" s="32"/>
    </row>
    <row r="360" spans="2:18" s="18" customFormat="1" ht="13.5" customHeight="1">
      <c r="B360" s="19"/>
      <c r="C360" s="21"/>
      <c r="E360" s="21"/>
      <c r="G360" s="21"/>
      <c r="I360" s="21"/>
      <c r="M360" s="21"/>
      <c r="O360" s="21"/>
      <c r="Q360" s="21"/>
      <c r="R360" s="32"/>
    </row>
    <row r="361" spans="1:18" s="18" customFormat="1" ht="13.5" customHeight="1">
      <c r="A361" s="18" t="s">
        <v>310</v>
      </c>
      <c r="B361" s="19"/>
      <c r="C361" s="17">
        <v>86441</v>
      </c>
      <c r="E361" s="17">
        <v>0</v>
      </c>
      <c r="G361" s="17">
        <v>0</v>
      </c>
      <c r="I361" s="17">
        <v>0</v>
      </c>
      <c r="K361" s="17">
        <f t="shared" si="6"/>
        <v>86441</v>
      </c>
      <c r="M361" s="17">
        <v>33443</v>
      </c>
      <c r="O361" s="17">
        <f>22036-1</f>
        <v>22035</v>
      </c>
      <c r="Q361" s="17">
        <v>30963</v>
      </c>
      <c r="R361" s="32"/>
    </row>
    <row r="362" spans="2:18" s="18" customFormat="1" ht="13.5" customHeight="1">
      <c r="B362" s="19" t="s">
        <v>15</v>
      </c>
      <c r="R362" s="32"/>
    </row>
    <row r="363" spans="1:18" s="18" customFormat="1" ht="13.5" customHeight="1">
      <c r="A363" s="18" t="s">
        <v>234</v>
      </c>
      <c r="B363" s="19" t="s">
        <v>15</v>
      </c>
      <c r="C363" s="17">
        <v>868</v>
      </c>
      <c r="E363" s="17">
        <v>0</v>
      </c>
      <c r="G363" s="17">
        <v>353</v>
      </c>
      <c r="I363" s="17">
        <v>0</v>
      </c>
      <c r="K363" s="17">
        <f>IF(SUM(C363:I363)=SUM(M363:Q363),SUM(C363:I363),SUM(M363:Q363)-SUM(C363:I363))</f>
        <v>1221</v>
      </c>
      <c r="M363" s="17">
        <v>0</v>
      </c>
      <c r="O363" s="17">
        <v>1221</v>
      </c>
      <c r="Q363" s="17">
        <v>0</v>
      </c>
      <c r="R363" s="32"/>
    </row>
    <row r="364" spans="2:18" s="18" customFormat="1" ht="13.5" customHeight="1">
      <c r="B364" s="19"/>
      <c r="C364" s="21"/>
      <c r="E364" s="21"/>
      <c r="G364" s="21"/>
      <c r="I364" s="21"/>
      <c r="M364" s="21"/>
      <c r="O364" s="21"/>
      <c r="Q364" s="21"/>
      <c r="R364" s="32"/>
    </row>
    <row r="365" spans="1:18" s="18" customFormat="1" ht="13.5" customHeight="1">
      <c r="A365" s="18" t="s">
        <v>292</v>
      </c>
      <c r="B365" s="19"/>
      <c r="C365" s="17">
        <v>0</v>
      </c>
      <c r="E365" s="17">
        <v>0</v>
      </c>
      <c r="G365" s="17">
        <v>3619</v>
      </c>
      <c r="I365" s="17">
        <v>0</v>
      </c>
      <c r="K365" s="17">
        <f t="shared" si="6"/>
        <v>3619</v>
      </c>
      <c r="M365" s="17">
        <v>0</v>
      </c>
      <c r="O365" s="17">
        <v>3619</v>
      </c>
      <c r="Q365" s="17">
        <v>0</v>
      </c>
      <c r="R365" s="32"/>
    </row>
    <row r="366" spans="2:18" s="18" customFormat="1" ht="13.5" customHeight="1">
      <c r="B366" s="19" t="s">
        <v>15</v>
      </c>
      <c r="R366" s="32"/>
    </row>
    <row r="367" spans="1:18" s="18" customFormat="1" ht="12.75" customHeight="1">
      <c r="A367" s="18" t="s">
        <v>77</v>
      </c>
      <c r="B367" s="19" t="s">
        <v>15</v>
      </c>
      <c r="C367" s="17">
        <v>0</v>
      </c>
      <c r="E367" s="17">
        <v>0</v>
      </c>
      <c r="G367" s="17">
        <v>145545</v>
      </c>
      <c r="I367" s="17">
        <v>5628</v>
      </c>
      <c r="K367" s="17">
        <f t="shared" si="6"/>
        <v>151173</v>
      </c>
      <c r="M367" s="17">
        <v>98507</v>
      </c>
      <c r="O367" s="17">
        <v>46617</v>
      </c>
      <c r="Q367" s="17">
        <v>6049</v>
      </c>
      <c r="R367" s="32"/>
    </row>
    <row r="368" spans="2:18" s="18" customFormat="1" ht="13.5" customHeight="1">
      <c r="B368" s="19" t="s">
        <v>15</v>
      </c>
      <c r="R368" s="32"/>
    </row>
    <row r="369" spans="1:18" s="18" customFormat="1" ht="13.5" customHeight="1">
      <c r="A369" s="18" t="s">
        <v>118</v>
      </c>
      <c r="B369" s="19" t="s">
        <v>15</v>
      </c>
      <c r="C369" s="17">
        <v>2736699</v>
      </c>
      <c r="E369" s="17">
        <v>0</v>
      </c>
      <c r="G369" s="17">
        <v>0</v>
      </c>
      <c r="I369" s="17">
        <v>0</v>
      </c>
      <c r="K369" s="17">
        <f t="shared" si="6"/>
        <v>2736699</v>
      </c>
      <c r="M369" s="17">
        <v>794062</v>
      </c>
      <c r="O369" s="17">
        <v>1942637</v>
      </c>
      <c r="Q369" s="17">
        <v>0</v>
      </c>
      <c r="R369" s="32"/>
    </row>
    <row r="370" spans="2:18" s="18" customFormat="1" ht="13.5" customHeight="1">
      <c r="B370" s="19" t="s">
        <v>15</v>
      </c>
      <c r="R370" s="32"/>
    </row>
    <row r="371" spans="1:18" s="18" customFormat="1" ht="13.5" customHeight="1">
      <c r="A371" s="18" t="s">
        <v>257</v>
      </c>
      <c r="B371" s="19" t="s">
        <v>15</v>
      </c>
      <c r="R371" s="32"/>
    </row>
    <row r="372" spans="1:18" s="18" customFormat="1" ht="13.5" customHeight="1">
      <c r="A372" s="18" t="s">
        <v>78</v>
      </c>
      <c r="B372" s="19" t="s">
        <v>15</v>
      </c>
      <c r="C372" s="18">
        <v>0</v>
      </c>
      <c r="E372" s="18">
        <v>0</v>
      </c>
      <c r="G372" s="18">
        <v>0</v>
      </c>
      <c r="I372" s="18">
        <v>24677</v>
      </c>
      <c r="K372" s="18">
        <f t="shared" si="6"/>
        <v>24677</v>
      </c>
      <c r="M372" s="18">
        <v>0</v>
      </c>
      <c r="O372" s="18">
        <v>24677</v>
      </c>
      <c r="Q372" s="18">
        <v>0</v>
      </c>
      <c r="R372" s="32"/>
    </row>
    <row r="373" spans="1:18" s="18" customFormat="1" ht="13.5" customHeight="1">
      <c r="A373" s="18" t="s">
        <v>80</v>
      </c>
      <c r="B373" s="19" t="s">
        <v>15</v>
      </c>
      <c r="C373" s="18">
        <v>0</v>
      </c>
      <c r="E373" s="18">
        <v>0</v>
      </c>
      <c r="G373" s="18">
        <v>20385</v>
      </c>
      <c r="I373" s="18">
        <v>0</v>
      </c>
      <c r="K373" s="18">
        <f t="shared" si="6"/>
        <v>20385</v>
      </c>
      <c r="M373" s="18">
        <v>0</v>
      </c>
      <c r="O373" s="18">
        <v>20385</v>
      </c>
      <c r="Q373" s="18">
        <v>0</v>
      </c>
      <c r="R373" s="32"/>
    </row>
    <row r="374" spans="1:18" s="18" customFormat="1" ht="13.5" customHeight="1">
      <c r="A374" s="18" t="s">
        <v>247</v>
      </c>
      <c r="B374" s="19"/>
      <c r="C374" s="18">
        <v>0</v>
      </c>
      <c r="E374" s="18">
        <v>0</v>
      </c>
      <c r="G374" s="18">
        <v>42376</v>
      </c>
      <c r="I374" s="18">
        <v>0</v>
      </c>
      <c r="K374" s="17">
        <f t="shared" si="6"/>
        <v>42376</v>
      </c>
      <c r="M374" s="18">
        <v>42376</v>
      </c>
      <c r="O374" s="18">
        <v>0</v>
      </c>
      <c r="Q374" s="18">
        <v>0</v>
      </c>
      <c r="R374" s="32"/>
    </row>
    <row r="375" spans="1:18" s="18" customFormat="1" ht="13.5" customHeight="1">
      <c r="A375" s="18" t="s">
        <v>184</v>
      </c>
      <c r="B375" s="19" t="s">
        <v>15</v>
      </c>
      <c r="C375" s="20">
        <f>SUM(C372:C374)</f>
        <v>0</v>
      </c>
      <c r="E375" s="20">
        <f>SUM(E372:E374)</f>
        <v>0</v>
      </c>
      <c r="G375" s="20">
        <f>SUM(G372:G374)</f>
        <v>62761</v>
      </c>
      <c r="I375" s="20">
        <f>SUM(I372:I374)</f>
        <v>24677</v>
      </c>
      <c r="K375" s="20">
        <f t="shared" si="6"/>
        <v>87438</v>
      </c>
      <c r="M375" s="20">
        <f>SUM(M372:M374)</f>
        <v>42376</v>
      </c>
      <c r="O375" s="20">
        <f>SUM(O372:O374)</f>
        <v>45062</v>
      </c>
      <c r="Q375" s="20">
        <f>SUM(Q372:Q374)</f>
        <v>0</v>
      </c>
      <c r="R375" s="32"/>
    </row>
    <row r="376" spans="2:18" s="18" customFormat="1" ht="13.5" customHeight="1">
      <c r="B376" s="19" t="s">
        <v>15</v>
      </c>
      <c r="R376" s="32"/>
    </row>
    <row r="377" spans="1:18" s="21" customFormat="1" ht="13.5" customHeight="1">
      <c r="A377" s="21" t="s">
        <v>239</v>
      </c>
      <c r="B377" s="22" t="s">
        <v>15</v>
      </c>
      <c r="K377" s="18"/>
      <c r="R377" s="33"/>
    </row>
    <row r="378" spans="1:18" s="18" customFormat="1" ht="13.5" customHeight="1">
      <c r="A378" s="18" t="s">
        <v>213</v>
      </c>
      <c r="B378" s="19"/>
      <c r="C378" s="21">
        <v>276730</v>
      </c>
      <c r="E378" s="21">
        <v>797893</v>
      </c>
      <c r="G378" s="21">
        <v>0</v>
      </c>
      <c r="I378" s="21">
        <v>0</v>
      </c>
      <c r="K378" s="18">
        <f t="shared" si="6"/>
        <v>1074623</v>
      </c>
      <c r="M378" s="21">
        <v>187660</v>
      </c>
      <c r="O378" s="21">
        <v>857040</v>
      </c>
      <c r="Q378" s="21">
        <v>29923</v>
      </c>
      <c r="R378" s="32"/>
    </row>
    <row r="379" spans="1:18" s="18" customFormat="1" ht="13.5" customHeight="1">
      <c r="A379" s="18" t="s">
        <v>41</v>
      </c>
      <c r="B379" s="19"/>
      <c r="C379" s="21">
        <v>0</v>
      </c>
      <c r="E379" s="21">
        <v>0</v>
      </c>
      <c r="G379" s="21">
        <v>10000</v>
      </c>
      <c r="I379" s="21">
        <v>0</v>
      </c>
      <c r="K379" s="18">
        <f t="shared" si="6"/>
        <v>10000</v>
      </c>
      <c r="M379" s="21">
        <v>0</v>
      </c>
      <c r="O379" s="21">
        <v>10000</v>
      </c>
      <c r="Q379" s="21">
        <v>0</v>
      </c>
      <c r="R379" s="32"/>
    </row>
    <row r="380" spans="1:18" s="18" customFormat="1" ht="13.5" customHeight="1">
      <c r="A380" s="18" t="s">
        <v>219</v>
      </c>
      <c r="B380" s="19"/>
      <c r="C380" s="21">
        <v>0</v>
      </c>
      <c r="E380" s="21">
        <v>13147180</v>
      </c>
      <c r="G380" s="21">
        <v>0</v>
      </c>
      <c r="I380" s="21">
        <v>3450</v>
      </c>
      <c r="K380" s="17">
        <f t="shared" si="6"/>
        <v>13150630</v>
      </c>
      <c r="M380" s="21">
        <v>2612587</v>
      </c>
      <c r="O380" s="21">
        <v>9335541</v>
      </c>
      <c r="Q380" s="21">
        <v>1202502</v>
      </c>
      <c r="R380" s="32"/>
    </row>
    <row r="381" spans="1:18" s="18" customFormat="1" ht="13.5" customHeight="1">
      <c r="A381" s="18" t="s">
        <v>210</v>
      </c>
      <c r="B381" s="19"/>
      <c r="C381" s="20">
        <f>SUM(C378:C380)</f>
        <v>276730</v>
      </c>
      <c r="E381" s="20">
        <f>SUM(E378:E380)</f>
        <v>13945073</v>
      </c>
      <c r="G381" s="20">
        <f>SUM(G378:G380)</f>
        <v>10000</v>
      </c>
      <c r="I381" s="20">
        <f>SUM(I378:I380)</f>
        <v>3450</v>
      </c>
      <c r="K381" s="17">
        <f t="shared" si="6"/>
        <v>14235253</v>
      </c>
      <c r="M381" s="20">
        <f>SUM(M378:M380)</f>
        <v>2800247</v>
      </c>
      <c r="O381" s="20">
        <f>SUM(O378:O380)</f>
        <v>10202581</v>
      </c>
      <c r="Q381" s="20">
        <f>SUM(Q378:Q380)</f>
        <v>1232425</v>
      </c>
      <c r="R381" s="32"/>
    </row>
    <row r="382" spans="2:18" s="18" customFormat="1" ht="13.5" customHeight="1">
      <c r="B382" s="19" t="s">
        <v>15</v>
      </c>
      <c r="R382" s="32"/>
    </row>
    <row r="383" spans="1:18" s="18" customFormat="1" ht="13.5" customHeight="1">
      <c r="A383" s="18" t="s">
        <v>81</v>
      </c>
      <c r="B383" s="19" t="s">
        <v>15</v>
      </c>
      <c r="C383" s="17">
        <v>18735</v>
      </c>
      <c r="E383" s="17">
        <v>0</v>
      </c>
      <c r="G383" s="17">
        <v>64772</v>
      </c>
      <c r="I383" s="17">
        <v>0</v>
      </c>
      <c r="K383" s="17">
        <f t="shared" si="6"/>
        <v>83507</v>
      </c>
      <c r="M383" s="17">
        <v>70415</v>
      </c>
      <c r="O383" s="17">
        <v>5561</v>
      </c>
      <c r="Q383" s="17">
        <v>7531</v>
      </c>
      <c r="R383" s="32"/>
    </row>
    <row r="384" spans="2:18" s="18" customFormat="1" ht="13.5" customHeight="1">
      <c r="B384" s="19"/>
      <c r="C384" s="21"/>
      <c r="E384" s="21"/>
      <c r="G384" s="21"/>
      <c r="I384" s="21"/>
      <c r="M384" s="21"/>
      <c r="O384" s="21"/>
      <c r="Q384" s="21"/>
      <c r="R384" s="32"/>
    </row>
    <row r="385" spans="1:18" s="18" customFormat="1" ht="13.5" customHeight="1">
      <c r="A385" s="18" t="s">
        <v>296</v>
      </c>
      <c r="B385" s="19"/>
      <c r="C385" s="17">
        <v>0</v>
      </c>
      <c r="E385" s="17">
        <v>1179</v>
      </c>
      <c r="G385" s="17">
        <v>0</v>
      </c>
      <c r="I385" s="17">
        <v>0</v>
      </c>
      <c r="K385" s="17">
        <f t="shared" si="6"/>
        <v>1179</v>
      </c>
      <c r="M385" s="17">
        <v>1105</v>
      </c>
      <c r="O385" s="17">
        <v>0</v>
      </c>
      <c r="Q385" s="17">
        <v>74</v>
      </c>
      <c r="R385" s="32"/>
    </row>
    <row r="386" spans="2:18" s="18" customFormat="1" ht="13.5" customHeight="1">
      <c r="B386" s="19"/>
      <c r="C386" s="21"/>
      <c r="E386" s="21"/>
      <c r="G386" s="21"/>
      <c r="I386" s="21"/>
      <c r="M386" s="21"/>
      <c r="O386" s="21"/>
      <c r="Q386" s="21"/>
      <c r="R386" s="32"/>
    </row>
    <row r="387" spans="1:18" s="18" customFormat="1" ht="13.5" customHeight="1">
      <c r="A387" s="18" t="s">
        <v>220</v>
      </c>
      <c r="B387" s="19"/>
      <c r="C387" s="17">
        <v>7740</v>
      </c>
      <c r="E387" s="17">
        <v>0</v>
      </c>
      <c r="G387" s="17">
        <v>0</v>
      </c>
      <c r="I387" s="17">
        <v>0</v>
      </c>
      <c r="K387" s="17">
        <f t="shared" si="6"/>
        <v>7740</v>
      </c>
      <c r="M387" s="17">
        <v>7740</v>
      </c>
      <c r="O387" s="17">
        <v>0</v>
      </c>
      <c r="Q387" s="17">
        <v>0</v>
      </c>
      <c r="R387" s="32"/>
    </row>
    <row r="388" spans="2:18" s="18" customFormat="1" ht="13.5" customHeight="1">
      <c r="B388" s="19"/>
      <c r="C388" s="21"/>
      <c r="E388" s="21"/>
      <c r="G388" s="21"/>
      <c r="I388" s="21"/>
      <c r="M388" s="21"/>
      <c r="O388" s="21"/>
      <c r="Q388" s="21"/>
      <c r="R388" s="32"/>
    </row>
    <row r="389" spans="1:18" s="18" customFormat="1" ht="13.5" customHeight="1">
      <c r="A389" s="18" t="s">
        <v>248</v>
      </c>
      <c r="B389" s="19"/>
      <c r="C389" s="17">
        <v>1141932</v>
      </c>
      <c r="E389" s="17">
        <v>0</v>
      </c>
      <c r="G389" s="17">
        <v>0</v>
      </c>
      <c r="I389" s="17">
        <v>0</v>
      </c>
      <c r="K389" s="17">
        <f t="shared" si="6"/>
        <v>1141932</v>
      </c>
      <c r="M389" s="17">
        <v>746500</v>
      </c>
      <c r="O389" s="17">
        <v>395432</v>
      </c>
      <c r="Q389" s="17">
        <v>0</v>
      </c>
      <c r="R389" s="32"/>
    </row>
    <row r="390" spans="2:18" s="18" customFormat="1" ht="13.5" customHeight="1">
      <c r="B390" s="19" t="s">
        <v>15</v>
      </c>
      <c r="R390" s="32"/>
    </row>
    <row r="391" spans="1:18" s="18" customFormat="1" ht="13.5" customHeight="1">
      <c r="A391" s="18" t="s">
        <v>25</v>
      </c>
      <c r="B391" s="19" t="s">
        <v>15</v>
      </c>
      <c r="C391" s="18" t="s">
        <v>26</v>
      </c>
      <c r="E391" s="18" t="s">
        <v>16</v>
      </c>
      <c r="G391" s="18" t="s">
        <v>16</v>
      </c>
      <c r="I391" s="18" t="s">
        <v>16</v>
      </c>
      <c r="M391" s="18" t="s">
        <v>16</v>
      </c>
      <c r="O391" s="18" t="s">
        <v>16</v>
      </c>
      <c r="Q391" s="18" t="s">
        <v>16</v>
      </c>
      <c r="R391" s="32" t="s">
        <v>16</v>
      </c>
    </row>
    <row r="392" spans="1:18" s="18" customFormat="1" ht="13.5" customHeight="1">
      <c r="A392" s="18" t="s">
        <v>85</v>
      </c>
      <c r="B392" s="19"/>
      <c r="C392" s="18">
        <v>0</v>
      </c>
      <c r="E392" s="18">
        <v>0</v>
      </c>
      <c r="G392" s="18">
        <v>110289</v>
      </c>
      <c r="I392" s="18">
        <v>0</v>
      </c>
      <c r="K392" s="18">
        <f t="shared" si="6"/>
        <v>110289</v>
      </c>
      <c r="M392" s="18">
        <v>45852</v>
      </c>
      <c r="O392" s="18">
        <v>55334</v>
      </c>
      <c r="Q392" s="18">
        <v>9103</v>
      </c>
      <c r="R392" s="32"/>
    </row>
    <row r="393" spans="1:18" s="18" customFormat="1" ht="13.5" customHeight="1">
      <c r="A393" s="18" t="s">
        <v>119</v>
      </c>
      <c r="B393" s="19" t="s">
        <v>15</v>
      </c>
      <c r="C393" s="18">
        <v>754068</v>
      </c>
      <c r="E393" s="18">
        <v>0</v>
      </c>
      <c r="G393" s="18">
        <v>0</v>
      </c>
      <c r="I393" s="18">
        <v>0</v>
      </c>
      <c r="K393" s="18">
        <f t="shared" si="6"/>
        <v>754068</v>
      </c>
      <c r="M393" s="18">
        <v>431186</v>
      </c>
      <c r="O393" s="18">
        <v>322881</v>
      </c>
      <c r="Q393" s="18">
        <v>1</v>
      </c>
      <c r="R393" s="32"/>
    </row>
    <row r="394" spans="1:18" s="18" customFormat="1" ht="13.5" customHeight="1">
      <c r="A394" s="18" t="s">
        <v>114</v>
      </c>
      <c r="B394" s="19" t="s">
        <v>15</v>
      </c>
      <c r="C394" s="18">
        <v>183827</v>
      </c>
      <c r="E394" s="18">
        <v>367491</v>
      </c>
      <c r="G394" s="18">
        <v>0</v>
      </c>
      <c r="I394" s="18">
        <v>-15325</v>
      </c>
      <c r="K394" s="18">
        <f t="shared" si="6"/>
        <v>535993</v>
      </c>
      <c r="M394" s="18">
        <v>404092</v>
      </c>
      <c r="O394" s="18">
        <v>131901</v>
      </c>
      <c r="Q394" s="18">
        <v>0</v>
      </c>
      <c r="R394" s="32"/>
    </row>
    <row r="395" spans="1:18" s="18" customFormat="1" ht="13.5" customHeight="1">
      <c r="A395" s="18" t="s">
        <v>41</v>
      </c>
      <c r="B395" s="19" t="s">
        <v>15</v>
      </c>
      <c r="C395" s="18">
        <v>0</v>
      </c>
      <c r="E395" s="18">
        <v>0</v>
      </c>
      <c r="G395" s="18">
        <v>22227</v>
      </c>
      <c r="I395" s="18">
        <v>0</v>
      </c>
      <c r="K395" s="18">
        <f t="shared" si="6"/>
        <v>22227</v>
      </c>
      <c r="M395" s="18">
        <v>0</v>
      </c>
      <c r="O395" s="18">
        <v>22227</v>
      </c>
      <c r="Q395" s="18">
        <v>0</v>
      </c>
      <c r="R395" s="32"/>
    </row>
    <row r="396" spans="1:18" s="18" customFormat="1" ht="13.5" customHeight="1">
      <c r="A396" s="18" t="s">
        <v>249</v>
      </c>
      <c r="B396" s="19"/>
      <c r="C396" s="18">
        <v>0</v>
      </c>
      <c r="E396" s="18">
        <v>0</v>
      </c>
      <c r="G396" s="18">
        <v>59</v>
      </c>
      <c r="I396" s="18">
        <v>0</v>
      </c>
      <c r="K396" s="18">
        <f t="shared" si="6"/>
        <v>59</v>
      </c>
      <c r="M396" s="18">
        <v>9</v>
      </c>
      <c r="O396" s="18">
        <v>50</v>
      </c>
      <c r="Q396" s="18">
        <v>0</v>
      </c>
      <c r="R396" s="32"/>
    </row>
    <row r="397" spans="1:18" s="18" customFormat="1" ht="13.5" customHeight="1">
      <c r="A397" s="18" t="s">
        <v>161</v>
      </c>
      <c r="B397" s="19"/>
      <c r="C397" s="18">
        <v>16000</v>
      </c>
      <c r="E397" s="18">
        <v>0</v>
      </c>
      <c r="G397" s="18">
        <v>0</v>
      </c>
      <c r="I397" s="18">
        <v>0</v>
      </c>
      <c r="K397" s="18">
        <f t="shared" si="6"/>
        <v>16000</v>
      </c>
      <c r="M397" s="18">
        <v>7802</v>
      </c>
      <c r="O397" s="18">
        <v>8198</v>
      </c>
      <c r="Q397" s="18">
        <v>0</v>
      </c>
      <c r="R397" s="32"/>
    </row>
    <row r="398" spans="1:18" s="18" customFormat="1" ht="13.5" customHeight="1">
      <c r="A398" s="18" t="s">
        <v>120</v>
      </c>
      <c r="B398" s="19" t="s">
        <v>15</v>
      </c>
      <c r="C398" s="17">
        <v>5454</v>
      </c>
      <c r="E398" s="17">
        <v>0</v>
      </c>
      <c r="G398" s="17">
        <v>0</v>
      </c>
      <c r="I398" s="17">
        <v>0</v>
      </c>
      <c r="K398" s="17">
        <f t="shared" si="6"/>
        <v>5454</v>
      </c>
      <c r="M398" s="17">
        <v>0</v>
      </c>
      <c r="O398" s="17">
        <v>5454</v>
      </c>
      <c r="Q398" s="17">
        <v>0</v>
      </c>
      <c r="R398" s="32"/>
    </row>
    <row r="399" spans="1:18" s="18" customFormat="1" ht="13.5" customHeight="1">
      <c r="A399" s="18" t="s">
        <v>185</v>
      </c>
      <c r="B399" s="19" t="s">
        <v>15</v>
      </c>
      <c r="C399" s="17">
        <f>SUM(C392:C398)</f>
        <v>959349</v>
      </c>
      <c r="E399" s="17">
        <f>SUM(E392:E398)</f>
        <v>367491</v>
      </c>
      <c r="G399" s="17">
        <f>SUM(G392:G398)</f>
        <v>132575</v>
      </c>
      <c r="I399" s="17">
        <f>SUM(I392:I398)</f>
        <v>-15325</v>
      </c>
      <c r="K399" s="20">
        <f t="shared" si="6"/>
        <v>1444090</v>
      </c>
      <c r="M399" s="17">
        <f>SUM(M392:M398)</f>
        <v>888941</v>
      </c>
      <c r="O399" s="17">
        <f>SUM(O392:O398)</f>
        <v>546045</v>
      </c>
      <c r="Q399" s="17">
        <f>SUM(Q392:Q398)</f>
        <v>9104</v>
      </c>
      <c r="R399" s="32"/>
    </row>
    <row r="400" spans="2:18" s="18" customFormat="1" ht="13.5" customHeight="1">
      <c r="B400" s="19"/>
      <c r="C400" s="21"/>
      <c r="E400" s="21"/>
      <c r="G400" s="21"/>
      <c r="I400" s="21"/>
      <c r="M400" s="21"/>
      <c r="O400" s="21"/>
      <c r="Q400" s="21"/>
      <c r="R400" s="32"/>
    </row>
    <row r="401" spans="1:18" s="18" customFormat="1" ht="13.5" customHeight="1">
      <c r="A401" s="18" t="s">
        <v>297</v>
      </c>
      <c r="B401" s="19"/>
      <c r="C401" s="17">
        <v>0</v>
      </c>
      <c r="E401" s="17">
        <v>0</v>
      </c>
      <c r="G401" s="17">
        <v>1654</v>
      </c>
      <c r="I401" s="17">
        <v>0</v>
      </c>
      <c r="K401" s="17">
        <f t="shared" si="6"/>
        <v>1654</v>
      </c>
      <c r="M401" s="17">
        <v>0</v>
      </c>
      <c r="O401" s="17">
        <v>1654</v>
      </c>
      <c r="Q401" s="17">
        <v>0</v>
      </c>
      <c r="R401" s="32"/>
    </row>
    <row r="402" spans="2:18" s="18" customFormat="1" ht="13.5" customHeight="1">
      <c r="B402" s="19"/>
      <c r="C402" s="21"/>
      <c r="E402" s="21"/>
      <c r="G402" s="21"/>
      <c r="I402" s="21"/>
      <c r="M402" s="21"/>
      <c r="O402" s="21"/>
      <c r="Q402" s="21"/>
      <c r="R402" s="32"/>
    </row>
    <row r="403" spans="1:18" s="18" customFormat="1" ht="13.5" customHeight="1">
      <c r="A403" s="18" t="s">
        <v>270</v>
      </c>
      <c r="B403" s="19"/>
      <c r="C403" s="17">
        <v>39275</v>
      </c>
      <c r="E403" s="17">
        <v>116054</v>
      </c>
      <c r="G403" s="17">
        <v>0</v>
      </c>
      <c r="I403" s="17">
        <v>0</v>
      </c>
      <c r="K403" s="17">
        <f t="shared" si="6"/>
        <v>155329</v>
      </c>
      <c r="M403" s="17">
        <v>-6483</v>
      </c>
      <c r="O403" s="17">
        <v>147037</v>
      </c>
      <c r="Q403" s="17">
        <v>14775</v>
      </c>
      <c r="R403" s="32"/>
    </row>
    <row r="404" spans="2:18" s="18" customFormat="1" ht="13.5" customHeight="1">
      <c r="B404" s="19" t="s">
        <v>15</v>
      </c>
      <c r="R404" s="32"/>
    </row>
    <row r="405" spans="1:18" s="18" customFormat="1" ht="13.5" customHeight="1">
      <c r="A405" s="18" t="s">
        <v>186</v>
      </c>
      <c r="B405" s="19" t="s">
        <v>15</v>
      </c>
      <c r="C405" s="17">
        <f>C290+C317+C322+C328+C330+C332+C345+C304+C347+C352+C359+C361+C365+C381+C363+C367+C369+C375+C383+C387+C389+C399+C385+C342+C336+C298+C334+C403+C401</f>
        <v>7299004</v>
      </c>
      <c r="D405" s="35"/>
      <c r="E405" s="17">
        <f>E290+E317+E322+E328+E330+E332+E345+E304+E347+E352+E359+E361+E365+E381+E363+E367+E369+E375+E383+E387+E389+E399+E385+E342+E336+E298+E334+E403+E401</f>
        <v>16465178</v>
      </c>
      <c r="F405" s="35"/>
      <c r="G405" s="17">
        <f>G290+G317+G322+G328+G330+G332+G345+G304+G347+G352+G359+G361+G365+G381+G363+G367+G369+G375+G383+G387+G389+G399+G385+G342+G336+G298+G334+G403+G401</f>
        <v>900029</v>
      </c>
      <c r="H405" s="35"/>
      <c r="I405" s="17">
        <f>I290+I317+I322+I328+I330+I332+I345+I304+I347+I352+I359+I361+I365+I381+I363+I367+I369+I375+I383+I387+I389+I399+I385+I342+I336+I298+I334+I403+I401</f>
        <v>1658186</v>
      </c>
      <c r="J405" s="35"/>
      <c r="K405" s="17">
        <f aca="true" t="shared" si="7" ref="K405:K466">IF(SUM(C405:I405)=SUM(M405:Q405),SUM(C405:I405),SUM(M405:Q405)-SUM(C405:I405))</f>
        <v>26322397</v>
      </c>
      <c r="L405" s="35"/>
      <c r="M405" s="17">
        <f>M290+M317+M322+M328+M330+M332+M345+M304+M347+M352+M359+M361+M365+M381+M363+M367+M369+M375+M383+M387+M389+M399+M385+M342+M336+M298+M334+M403+M401</f>
        <v>9354278</v>
      </c>
      <c r="N405" s="35"/>
      <c r="O405" s="17">
        <f>O290+O317+O322+O328+O330+O332+O345+O304+O347+O352+O359+O361+O365+O381+O363+O367+O369+O375+O383+O387+O389+O399+O385+O342+O336+O298+O334+O403+O401</f>
        <v>15079768</v>
      </c>
      <c r="P405" s="35"/>
      <c r="Q405" s="17">
        <f>Q290+Q317+Q322+Q328+Q330+Q332+Q345+Q304+Q347+Q352+Q359+Q361+Q365+Q381+Q363+Q367+Q369+Q375+Q383+Q387+Q389+Q399+Q385+Q342+Q336+Q298+Q334+Q403+Q401</f>
        <v>1888351</v>
      </c>
      <c r="R405" s="32"/>
    </row>
    <row r="406" spans="2:18" s="18" customFormat="1" ht="13.5" customHeight="1">
      <c r="B406" s="19" t="s">
        <v>15</v>
      </c>
      <c r="G406" s="18" t="s">
        <v>250</v>
      </c>
      <c r="R406" s="32"/>
    </row>
    <row r="407" spans="1:18" s="18" customFormat="1" ht="13.5" customHeight="1">
      <c r="A407" s="18" t="s">
        <v>235</v>
      </c>
      <c r="B407" s="19" t="s">
        <v>15</v>
      </c>
      <c r="C407" s="18" t="s">
        <v>15</v>
      </c>
      <c r="E407" s="18" t="s">
        <v>15</v>
      </c>
      <c r="G407" s="18" t="s">
        <v>15</v>
      </c>
      <c r="I407" s="18" t="s">
        <v>15</v>
      </c>
      <c r="M407" s="18" t="s">
        <v>15</v>
      </c>
      <c r="O407" s="18" t="s">
        <v>15</v>
      </c>
      <c r="Q407" s="18" t="s">
        <v>15</v>
      </c>
      <c r="R407" s="32"/>
    </row>
    <row r="408" spans="1:18" s="18" customFormat="1" ht="13.5" customHeight="1">
      <c r="A408" s="18" t="s">
        <v>27</v>
      </c>
      <c r="B408" s="19" t="s">
        <v>15</v>
      </c>
      <c r="C408" s="18" t="s">
        <v>15</v>
      </c>
      <c r="E408" s="18" t="s">
        <v>15</v>
      </c>
      <c r="G408" s="18" t="s">
        <v>15</v>
      </c>
      <c r="I408" s="18" t="s">
        <v>15</v>
      </c>
      <c r="M408" s="18" t="s">
        <v>15</v>
      </c>
      <c r="O408" s="18" t="s">
        <v>15</v>
      </c>
      <c r="Q408" s="18" t="s">
        <v>15</v>
      </c>
      <c r="R408" s="32"/>
    </row>
    <row r="409" spans="1:18" s="18" customFormat="1" ht="13.5" customHeight="1">
      <c r="A409" s="18" t="s">
        <v>121</v>
      </c>
      <c r="B409" s="19" t="s">
        <v>15</v>
      </c>
      <c r="C409" s="18">
        <v>396230</v>
      </c>
      <c r="E409" s="18">
        <v>145005</v>
      </c>
      <c r="G409" s="18">
        <v>414443</v>
      </c>
      <c r="I409" s="18">
        <v>463506</v>
      </c>
      <c r="K409" s="18">
        <f t="shared" si="7"/>
        <v>1419184</v>
      </c>
      <c r="M409" s="18">
        <v>130132</v>
      </c>
      <c r="O409" s="18">
        <f>1268681-1</f>
        <v>1268680</v>
      </c>
      <c r="Q409" s="18">
        <v>20372</v>
      </c>
      <c r="R409" s="32"/>
    </row>
    <row r="410" spans="1:18" s="18" customFormat="1" ht="13.5" customHeight="1">
      <c r="A410" s="18" t="s">
        <v>122</v>
      </c>
      <c r="B410" s="19" t="s">
        <v>15</v>
      </c>
      <c r="C410" s="17">
        <v>0</v>
      </c>
      <c r="E410" s="17">
        <v>0</v>
      </c>
      <c r="G410" s="17">
        <v>8832</v>
      </c>
      <c r="I410" s="17">
        <v>0</v>
      </c>
      <c r="K410" s="17">
        <f t="shared" si="7"/>
        <v>8832</v>
      </c>
      <c r="M410" s="17">
        <v>6417</v>
      </c>
      <c r="O410" s="17">
        <v>2415</v>
      </c>
      <c r="Q410" s="17">
        <v>0</v>
      </c>
      <c r="R410" s="32"/>
    </row>
    <row r="411" spans="1:18" s="18" customFormat="1" ht="13.5" customHeight="1">
      <c r="A411" s="18" t="s">
        <v>187</v>
      </c>
      <c r="B411" s="19" t="s">
        <v>15</v>
      </c>
      <c r="C411" s="17">
        <f>SUM(C409:C410)</f>
        <v>396230</v>
      </c>
      <c r="E411" s="17">
        <f>SUM(E409:E410)</f>
        <v>145005</v>
      </c>
      <c r="G411" s="17">
        <f>SUM(G409:G410)</f>
        <v>423275</v>
      </c>
      <c r="I411" s="17">
        <f>SUM(I409:I410)</f>
        <v>463506</v>
      </c>
      <c r="K411" s="20">
        <f t="shared" si="7"/>
        <v>1428016</v>
      </c>
      <c r="M411" s="17">
        <f>SUM(M409:M410)</f>
        <v>136549</v>
      </c>
      <c r="O411" s="17">
        <f>SUM(O409:O410)</f>
        <v>1271095</v>
      </c>
      <c r="Q411" s="17">
        <f>SUM(Q409:Q410)</f>
        <v>20372</v>
      </c>
      <c r="R411" s="32"/>
    </row>
    <row r="412" spans="2:18" s="18" customFormat="1" ht="13.5" customHeight="1">
      <c r="B412" s="19" t="s">
        <v>15</v>
      </c>
      <c r="R412" s="32"/>
    </row>
    <row r="413" spans="1:18" s="18" customFormat="1" ht="13.5" customHeight="1">
      <c r="A413" s="18" t="s">
        <v>236</v>
      </c>
      <c r="B413" s="19"/>
      <c r="C413" s="17">
        <v>0</v>
      </c>
      <c r="E413" s="17">
        <v>0</v>
      </c>
      <c r="G413" s="17">
        <v>176385</v>
      </c>
      <c r="I413" s="17">
        <v>274387</v>
      </c>
      <c r="K413" s="17">
        <f t="shared" si="7"/>
        <v>450772</v>
      </c>
      <c r="M413" s="17">
        <v>31493</v>
      </c>
      <c r="O413" s="17">
        <v>419279</v>
      </c>
      <c r="Q413" s="17">
        <v>0</v>
      </c>
      <c r="R413" s="32"/>
    </row>
    <row r="414" spans="2:18" s="18" customFormat="1" ht="13.5" customHeight="1">
      <c r="B414" s="19"/>
      <c r="R414" s="32"/>
    </row>
    <row r="415" spans="1:18" s="18" customFormat="1" ht="13.5" customHeight="1">
      <c r="A415" s="18" t="s">
        <v>123</v>
      </c>
      <c r="B415" s="19" t="s">
        <v>15</v>
      </c>
      <c r="C415" s="17">
        <v>0</v>
      </c>
      <c r="E415" s="17">
        <v>17460</v>
      </c>
      <c r="G415" s="17">
        <v>64</v>
      </c>
      <c r="I415" s="17">
        <v>0</v>
      </c>
      <c r="K415" s="17">
        <f t="shared" si="7"/>
        <v>17524</v>
      </c>
      <c r="M415" s="17">
        <v>16369</v>
      </c>
      <c r="O415" s="17">
        <v>64</v>
      </c>
      <c r="Q415" s="17">
        <v>1091</v>
      </c>
      <c r="R415" s="32"/>
    </row>
    <row r="416" spans="2:18" s="18" customFormat="1" ht="13.5" customHeight="1">
      <c r="B416" s="19" t="s">
        <v>15</v>
      </c>
      <c r="R416" s="32"/>
    </row>
    <row r="417" spans="1:43" s="18" customFormat="1" ht="13.5" customHeight="1">
      <c r="A417" s="18" t="s">
        <v>28</v>
      </c>
      <c r="B417" s="19" t="s">
        <v>15</v>
      </c>
      <c r="C417" s="18" t="s">
        <v>15</v>
      </c>
      <c r="E417" s="18" t="s">
        <v>15</v>
      </c>
      <c r="G417" s="18" t="s">
        <v>15</v>
      </c>
      <c r="I417" s="18" t="s">
        <v>15</v>
      </c>
      <c r="M417" s="18" t="s">
        <v>15</v>
      </c>
      <c r="O417" s="18" t="s">
        <v>15</v>
      </c>
      <c r="Q417" s="18" t="s">
        <v>15</v>
      </c>
      <c r="R417" s="32" t="s">
        <v>15</v>
      </c>
      <c r="S417" s="18" t="s">
        <v>15</v>
      </c>
      <c r="T417" s="18" t="s">
        <v>15</v>
      </c>
      <c r="U417" s="18" t="s">
        <v>15</v>
      </c>
      <c r="V417" s="18" t="s">
        <v>15</v>
      </c>
      <c r="W417" s="18" t="s">
        <v>15</v>
      </c>
      <c r="X417" s="18" t="s">
        <v>15</v>
      </c>
      <c r="Y417" s="18" t="s">
        <v>15</v>
      </c>
      <c r="Z417" s="18" t="s">
        <v>15</v>
      </c>
      <c r="AA417" s="18" t="s">
        <v>15</v>
      </c>
      <c r="AB417" s="18" t="s">
        <v>15</v>
      </c>
      <c r="AC417" s="18" t="s">
        <v>15</v>
      </c>
      <c r="AD417" s="18" t="s">
        <v>15</v>
      </c>
      <c r="AE417" s="18" t="s">
        <v>15</v>
      </c>
      <c r="AF417" s="18" t="s">
        <v>15</v>
      </c>
      <c r="AG417" s="18" t="s">
        <v>15</v>
      </c>
      <c r="AH417" s="18" t="s">
        <v>15</v>
      </c>
      <c r="AI417" s="18" t="s">
        <v>15</v>
      </c>
      <c r="AJ417" s="18" t="s">
        <v>15</v>
      </c>
      <c r="AK417" s="18" t="s">
        <v>15</v>
      </c>
      <c r="AL417" s="18" t="s">
        <v>15</v>
      </c>
      <c r="AM417" s="18" t="s">
        <v>15</v>
      </c>
      <c r="AN417" s="18" t="s">
        <v>15</v>
      </c>
      <c r="AO417" s="18" t="s">
        <v>15</v>
      </c>
      <c r="AP417" s="18" t="s">
        <v>15</v>
      </c>
      <c r="AQ417" s="18" t="s">
        <v>15</v>
      </c>
    </row>
    <row r="418" spans="1:18" s="18" customFormat="1" ht="13.5" customHeight="1">
      <c r="A418" s="18" t="s">
        <v>124</v>
      </c>
      <c r="B418" s="19" t="s">
        <v>15</v>
      </c>
      <c r="C418" s="18">
        <v>0</v>
      </c>
      <c r="E418" s="18">
        <v>0</v>
      </c>
      <c r="G418" s="18">
        <v>199325</v>
      </c>
      <c r="I418" s="18">
        <v>236696</v>
      </c>
      <c r="K418" s="18">
        <f t="shared" si="7"/>
        <v>436021</v>
      </c>
      <c r="M418" s="18">
        <v>88683</v>
      </c>
      <c r="O418" s="18">
        <v>347338</v>
      </c>
      <c r="Q418" s="18">
        <v>0</v>
      </c>
      <c r="R418" s="32"/>
    </row>
    <row r="419" spans="1:18" s="18" customFormat="1" ht="13.5" customHeight="1">
      <c r="A419" s="18" t="s">
        <v>125</v>
      </c>
      <c r="B419" s="19" t="s">
        <v>15</v>
      </c>
      <c r="C419" s="18">
        <v>0</v>
      </c>
      <c r="E419" s="18">
        <v>60430</v>
      </c>
      <c r="G419" s="18">
        <v>26312</v>
      </c>
      <c r="I419" s="18">
        <v>0</v>
      </c>
      <c r="K419" s="18">
        <f t="shared" si="7"/>
        <v>86742</v>
      </c>
      <c r="M419" s="18">
        <v>7625</v>
      </c>
      <c r="O419" s="18">
        <f>73037-1</f>
        <v>73036</v>
      </c>
      <c r="Q419" s="18">
        <v>6081</v>
      </c>
      <c r="R419" s="32"/>
    </row>
    <row r="420" spans="1:18" s="18" customFormat="1" ht="13.5" customHeight="1">
      <c r="A420" s="18" t="s">
        <v>126</v>
      </c>
      <c r="B420" s="19" t="s">
        <v>15</v>
      </c>
      <c r="C420" s="17">
        <v>0</v>
      </c>
      <c r="E420" s="17">
        <v>0</v>
      </c>
      <c r="G420" s="17">
        <v>15374</v>
      </c>
      <c r="I420" s="17">
        <v>20977</v>
      </c>
      <c r="K420" s="17">
        <f t="shared" si="7"/>
        <v>36351</v>
      </c>
      <c r="M420" s="17">
        <v>12905</v>
      </c>
      <c r="O420" s="17">
        <v>23446</v>
      </c>
      <c r="Q420" s="17">
        <v>0</v>
      </c>
      <c r="R420" s="32"/>
    </row>
    <row r="421" spans="1:18" s="18" customFormat="1" ht="13.5" customHeight="1">
      <c r="A421" s="18" t="s">
        <v>188</v>
      </c>
      <c r="B421" s="19" t="s">
        <v>15</v>
      </c>
      <c r="C421" s="17">
        <f>SUM(C418:C420)</f>
        <v>0</v>
      </c>
      <c r="E421" s="17">
        <f>SUM(E418:E420)</f>
        <v>60430</v>
      </c>
      <c r="G421" s="17">
        <f>SUM(G418:G420)</f>
        <v>241011</v>
      </c>
      <c r="I421" s="17">
        <f>SUM(I418:I420)</f>
        <v>257673</v>
      </c>
      <c r="K421" s="20">
        <f t="shared" si="7"/>
        <v>559114</v>
      </c>
      <c r="M421" s="17">
        <f>SUM(M418:M420)</f>
        <v>109213</v>
      </c>
      <c r="O421" s="17">
        <f>SUM(O418:O420)</f>
        <v>443820</v>
      </c>
      <c r="Q421" s="17">
        <f>SUM(Q418:Q420)</f>
        <v>6081</v>
      </c>
      <c r="R421" s="32"/>
    </row>
    <row r="422" spans="2:18" s="18" customFormat="1" ht="13.5" customHeight="1">
      <c r="B422" s="19" t="s">
        <v>15</v>
      </c>
      <c r="R422" s="32"/>
    </row>
    <row r="423" spans="1:18" s="18" customFormat="1" ht="13.5" customHeight="1">
      <c r="A423" s="18" t="s">
        <v>251</v>
      </c>
      <c r="B423" s="19"/>
      <c r="C423" s="17">
        <v>0</v>
      </c>
      <c r="E423" s="17">
        <v>8343</v>
      </c>
      <c r="G423" s="17">
        <v>0</v>
      </c>
      <c r="I423" s="17">
        <v>0</v>
      </c>
      <c r="K423" s="17">
        <f t="shared" si="7"/>
        <v>8343</v>
      </c>
      <c r="M423" s="17">
        <f>7821+1</f>
        <v>7822</v>
      </c>
      <c r="O423" s="17">
        <v>0</v>
      </c>
      <c r="Q423" s="17">
        <v>521</v>
      </c>
      <c r="R423" s="32"/>
    </row>
    <row r="424" spans="2:18" s="18" customFormat="1" ht="13.5" customHeight="1">
      <c r="B424" s="19"/>
      <c r="R424" s="32"/>
    </row>
    <row r="425" spans="1:18" s="18" customFormat="1" ht="13.5" customHeight="1">
      <c r="A425" s="18" t="s">
        <v>127</v>
      </c>
      <c r="B425" s="19" t="s">
        <v>15</v>
      </c>
      <c r="C425" s="17">
        <v>0</v>
      </c>
      <c r="E425" s="17">
        <v>1737</v>
      </c>
      <c r="G425" s="17">
        <v>0</v>
      </c>
      <c r="I425" s="17">
        <v>0</v>
      </c>
      <c r="K425" s="17">
        <f t="shared" si="7"/>
        <v>1737</v>
      </c>
      <c r="M425" s="17">
        <v>1628</v>
      </c>
      <c r="O425" s="17">
        <v>0</v>
      </c>
      <c r="Q425" s="17">
        <v>109</v>
      </c>
      <c r="R425" s="32"/>
    </row>
    <row r="426" spans="2:18" s="18" customFormat="1" ht="13.5" customHeight="1">
      <c r="B426" s="19"/>
      <c r="C426" s="21"/>
      <c r="E426" s="21"/>
      <c r="G426" s="21"/>
      <c r="I426" s="21"/>
      <c r="M426" s="21"/>
      <c r="O426" s="21"/>
      <c r="Q426" s="21"/>
      <c r="R426" s="32"/>
    </row>
    <row r="427" spans="1:18" s="18" customFormat="1" ht="13.5" customHeight="1">
      <c r="A427" s="18" t="s">
        <v>208</v>
      </c>
      <c r="B427" s="19"/>
      <c r="C427" s="17">
        <v>0</v>
      </c>
      <c r="E427" s="17">
        <v>0</v>
      </c>
      <c r="G427" s="17">
        <v>0</v>
      </c>
      <c r="I427" s="17">
        <v>433476</v>
      </c>
      <c r="K427" s="17">
        <f t="shared" si="7"/>
        <v>433476</v>
      </c>
      <c r="M427" s="17">
        <v>420634</v>
      </c>
      <c r="O427" s="17">
        <v>12842</v>
      </c>
      <c r="Q427" s="17">
        <v>0</v>
      </c>
      <c r="R427" s="32"/>
    </row>
    <row r="428" spans="2:18" s="18" customFormat="1" ht="13.5" customHeight="1">
      <c r="B428" s="19" t="s">
        <v>15</v>
      </c>
      <c r="R428" s="32"/>
    </row>
    <row r="429" spans="1:18" s="18" customFormat="1" ht="13.5" customHeight="1">
      <c r="A429" s="18" t="s">
        <v>117</v>
      </c>
      <c r="B429" s="19" t="s">
        <v>15</v>
      </c>
      <c r="C429" s="17">
        <v>0</v>
      </c>
      <c r="E429" s="17">
        <v>4107</v>
      </c>
      <c r="G429" s="17">
        <v>0</v>
      </c>
      <c r="I429" s="17">
        <v>0</v>
      </c>
      <c r="K429" s="17">
        <f t="shared" si="7"/>
        <v>4107</v>
      </c>
      <c r="M429" s="17">
        <v>3850</v>
      </c>
      <c r="O429" s="17">
        <v>0</v>
      </c>
      <c r="Q429" s="17">
        <v>257</v>
      </c>
      <c r="R429" s="32"/>
    </row>
    <row r="430" spans="2:18" s="18" customFormat="1" ht="13.5" customHeight="1">
      <c r="B430" s="19" t="s">
        <v>15</v>
      </c>
      <c r="R430" s="32"/>
    </row>
    <row r="431" spans="1:18" s="18" customFormat="1" ht="13.5" customHeight="1">
      <c r="A431" s="18" t="s">
        <v>29</v>
      </c>
      <c r="B431" s="19" t="s">
        <v>15</v>
      </c>
      <c r="C431" s="18" t="s">
        <v>15</v>
      </c>
      <c r="E431" s="18" t="s">
        <v>15</v>
      </c>
      <c r="G431" s="18" t="s">
        <v>15</v>
      </c>
      <c r="I431" s="18" t="s">
        <v>15</v>
      </c>
      <c r="M431" s="18" t="s">
        <v>15</v>
      </c>
      <c r="O431" s="18" t="s">
        <v>15</v>
      </c>
      <c r="Q431" s="18" t="s">
        <v>15</v>
      </c>
      <c r="R431" s="32"/>
    </row>
    <row r="432" spans="1:18" s="18" customFormat="1" ht="13.5" customHeight="1">
      <c r="A432" s="18" t="s">
        <v>128</v>
      </c>
      <c r="B432" s="19" t="s">
        <v>15</v>
      </c>
      <c r="C432" s="18">
        <v>0</v>
      </c>
      <c r="E432" s="18">
        <v>0</v>
      </c>
      <c r="G432" s="18">
        <v>38708</v>
      </c>
      <c r="I432" s="18">
        <v>728</v>
      </c>
      <c r="K432" s="18">
        <f t="shared" si="7"/>
        <v>39436</v>
      </c>
      <c r="M432" s="18">
        <v>28100</v>
      </c>
      <c r="O432" s="18">
        <f>11337-1</f>
        <v>11336</v>
      </c>
      <c r="Q432" s="18">
        <v>0</v>
      </c>
      <c r="R432" s="32"/>
    </row>
    <row r="433" spans="1:18" s="18" customFormat="1" ht="13.5" customHeight="1">
      <c r="A433" s="18" t="s">
        <v>129</v>
      </c>
      <c r="B433" s="19" t="s">
        <v>15</v>
      </c>
      <c r="C433" s="18">
        <v>0</v>
      </c>
      <c r="E433" s="18">
        <v>0</v>
      </c>
      <c r="G433" s="18">
        <v>42010</v>
      </c>
      <c r="I433" s="18">
        <v>0</v>
      </c>
      <c r="K433" s="18">
        <f t="shared" si="7"/>
        <v>42010</v>
      </c>
      <c r="M433" s="18">
        <v>12751</v>
      </c>
      <c r="O433" s="18">
        <v>29259</v>
      </c>
      <c r="Q433" s="18">
        <v>0</v>
      </c>
      <c r="R433" s="32"/>
    </row>
    <row r="434" spans="1:18" s="18" customFormat="1" ht="13.5" customHeight="1">
      <c r="A434" s="18" t="s">
        <v>130</v>
      </c>
      <c r="B434" s="19" t="s">
        <v>15</v>
      </c>
      <c r="C434" s="18">
        <v>0</v>
      </c>
      <c r="E434" s="18">
        <v>0</v>
      </c>
      <c r="G434" s="18">
        <v>4757</v>
      </c>
      <c r="I434" s="18">
        <v>1300</v>
      </c>
      <c r="K434" s="18">
        <f t="shared" si="7"/>
        <v>6057</v>
      </c>
      <c r="M434" s="18">
        <v>4800</v>
      </c>
      <c r="O434" s="18">
        <v>1257</v>
      </c>
      <c r="Q434" s="18">
        <v>0</v>
      </c>
      <c r="R434" s="32"/>
    </row>
    <row r="435" spans="1:18" s="18" customFormat="1" ht="13.5" customHeight="1">
      <c r="A435" s="18" t="s">
        <v>131</v>
      </c>
      <c r="B435" s="19" t="s">
        <v>15</v>
      </c>
      <c r="C435" s="18">
        <v>0</v>
      </c>
      <c r="E435" s="18">
        <v>0</v>
      </c>
      <c r="G435" s="18">
        <v>114550</v>
      </c>
      <c r="I435" s="18">
        <v>481</v>
      </c>
      <c r="K435" s="18">
        <f t="shared" si="7"/>
        <v>115031</v>
      </c>
      <c r="M435" s="18">
        <v>102680</v>
      </c>
      <c r="O435" s="18">
        <v>12351</v>
      </c>
      <c r="Q435" s="18">
        <v>0</v>
      </c>
      <c r="R435" s="32"/>
    </row>
    <row r="436" spans="1:18" s="18" customFormat="1" ht="13.5" customHeight="1">
      <c r="A436" s="18" t="s">
        <v>132</v>
      </c>
      <c r="B436" s="19" t="s">
        <v>15</v>
      </c>
      <c r="C436" s="18">
        <v>0</v>
      </c>
      <c r="E436" s="18">
        <v>0</v>
      </c>
      <c r="G436" s="18">
        <v>65523</v>
      </c>
      <c r="I436" s="18">
        <v>26428</v>
      </c>
      <c r="K436" s="18">
        <f t="shared" si="7"/>
        <v>91951</v>
      </c>
      <c r="M436" s="18">
        <v>84231</v>
      </c>
      <c r="O436" s="18">
        <v>7720</v>
      </c>
      <c r="Q436" s="18">
        <v>0</v>
      </c>
      <c r="R436" s="32"/>
    </row>
    <row r="437" spans="1:18" s="18" customFormat="1" ht="13.5" customHeight="1">
      <c r="A437" s="18" t="s">
        <v>221</v>
      </c>
      <c r="B437" s="19" t="s">
        <v>15</v>
      </c>
      <c r="C437" s="18">
        <v>0</v>
      </c>
      <c r="E437" s="18">
        <v>0</v>
      </c>
      <c r="G437" s="18">
        <v>4125</v>
      </c>
      <c r="I437" s="18">
        <v>2463</v>
      </c>
      <c r="K437" s="18">
        <f t="shared" si="7"/>
        <v>6588</v>
      </c>
      <c r="M437" s="18">
        <v>3722</v>
      </c>
      <c r="O437" s="18">
        <v>2866</v>
      </c>
      <c r="Q437" s="18">
        <v>0</v>
      </c>
      <c r="R437" s="32"/>
    </row>
    <row r="438" spans="1:18" s="18" customFormat="1" ht="13.5" customHeight="1">
      <c r="A438" s="18" t="s">
        <v>133</v>
      </c>
      <c r="B438" s="19" t="s">
        <v>15</v>
      </c>
      <c r="C438" s="18">
        <v>0</v>
      </c>
      <c r="E438" s="18">
        <v>0</v>
      </c>
      <c r="G438" s="18">
        <v>13523</v>
      </c>
      <c r="I438" s="18">
        <v>8495</v>
      </c>
      <c r="K438" s="18">
        <f t="shared" si="7"/>
        <v>22018</v>
      </c>
      <c r="M438" s="18">
        <v>13000</v>
      </c>
      <c r="O438" s="18">
        <f>9017+1</f>
        <v>9018</v>
      </c>
      <c r="Q438" s="18">
        <v>0</v>
      </c>
      <c r="R438" s="32"/>
    </row>
    <row r="439" spans="1:18" s="18" customFormat="1" ht="13.5" customHeight="1">
      <c r="A439" s="18" t="s">
        <v>152</v>
      </c>
      <c r="B439" s="19"/>
      <c r="C439" s="18">
        <v>0</v>
      </c>
      <c r="E439" s="18">
        <v>0</v>
      </c>
      <c r="G439" s="18">
        <v>36918</v>
      </c>
      <c r="I439" s="18">
        <v>0</v>
      </c>
      <c r="K439" s="18">
        <f t="shared" si="7"/>
        <v>36918</v>
      </c>
      <c r="M439" s="18">
        <v>17429</v>
      </c>
      <c r="O439" s="18">
        <v>19489</v>
      </c>
      <c r="Q439" s="18">
        <v>0</v>
      </c>
      <c r="R439" s="32"/>
    </row>
    <row r="440" spans="1:18" s="18" customFormat="1" ht="13.5" customHeight="1">
      <c r="A440" s="18" t="s">
        <v>134</v>
      </c>
      <c r="B440" s="19" t="s">
        <v>15</v>
      </c>
      <c r="C440" s="18">
        <v>0</v>
      </c>
      <c r="E440" s="18">
        <v>4186</v>
      </c>
      <c r="G440" s="18">
        <v>494</v>
      </c>
      <c r="I440" s="18">
        <v>0</v>
      </c>
      <c r="K440" s="18">
        <f t="shared" si="7"/>
        <v>4680</v>
      </c>
      <c r="M440" s="18">
        <v>3925</v>
      </c>
      <c r="O440" s="18">
        <f>494-1</f>
        <v>493</v>
      </c>
      <c r="Q440" s="18">
        <v>262</v>
      </c>
      <c r="R440" s="32"/>
    </row>
    <row r="441" spans="1:18" s="18" customFormat="1" ht="13.5" customHeight="1">
      <c r="A441" s="18" t="s">
        <v>222</v>
      </c>
      <c r="B441" s="19"/>
      <c r="C441" s="18">
        <v>0</v>
      </c>
      <c r="E441" s="18">
        <v>0</v>
      </c>
      <c r="G441" s="18">
        <v>2204</v>
      </c>
      <c r="I441" s="18">
        <v>0</v>
      </c>
      <c r="K441" s="18">
        <f t="shared" si="7"/>
        <v>2204</v>
      </c>
      <c r="M441" s="18">
        <v>2104</v>
      </c>
      <c r="O441" s="18">
        <v>100</v>
      </c>
      <c r="Q441" s="18">
        <v>0</v>
      </c>
      <c r="R441" s="32"/>
    </row>
    <row r="442" spans="1:18" s="18" customFormat="1" ht="13.5" customHeight="1">
      <c r="A442" s="18" t="s">
        <v>135</v>
      </c>
      <c r="B442" s="19" t="s">
        <v>15</v>
      </c>
      <c r="C442" s="18">
        <v>0</v>
      </c>
      <c r="E442" s="18">
        <v>0</v>
      </c>
      <c r="G442" s="18">
        <v>2227</v>
      </c>
      <c r="I442" s="18">
        <v>0</v>
      </c>
      <c r="K442" s="18">
        <f t="shared" si="7"/>
        <v>2227</v>
      </c>
      <c r="M442" s="18">
        <v>0</v>
      </c>
      <c r="O442" s="18">
        <v>2227</v>
      </c>
      <c r="Q442" s="18">
        <v>0</v>
      </c>
      <c r="R442" s="32"/>
    </row>
    <row r="443" spans="1:18" s="18" customFormat="1" ht="13.5" customHeight="1">
      <c r="A443" s="18" t="s">
        <v>136</v>
      </c>
      <c r="B443" s="19" t="s">
        <v>15</v>
      </c>
      <c r="C443" s="18">
        <v>0</v>
      </c>
      <c r="E443" s="18">
        <v>0</v>
      </c>
      <c r="G443" s="18">
        <v>64526</v>
      </c>
      <c r="I443" s="18">
        <v>0</v>
      </c>
      <c r="K443" s="18">
        <f t="shared" si="7"/>
        <v>64526</v>
      </c>
      <c r="M443" s="18">
        <v>21985</v>
      </c>
      <c r="O443" s="18">
        <v>42541</v>
      </c>
      <c r="Q443" s="18">
        <v>0</v>
      </c>
      <c r="R443" s="32"/>
    </row>
    <row r="444" spans="1:18" s="18" customFormat="1" ht="13.5" customHeight="1">
      <c r="A444" s="18" t="s">
        <v>137</v>
      </c>
      <c r="B444" s="19" t="s">
        <v>15</v>
      </c>
      <c r="C444" s="18">
        <v>0</v>
      </c>
      <c r="E444" s="18">
        <v>4106</v>
      </c>
      <c r="G444" s="18">
        <v>0</v>
      </c>
      <c r="I444" s="18">
        <v>49024</v>
      </c>
      <c r="K444" s="18">
        <f t="shared" si="7"/>
        <v>53130</v>
      </c>
      <c r="M444" s="18">
        <v>86576</v>
      </c>
      <c r="O444" s="18">
        <f>-33702-1</f>
        <v>-33703</v>
      </c>
      <c r="Q444" s="18">
        <v>257</v>
      </c>
      <c r="R444" s="32"/>
    </row>
    <row r="445" spans="1:18" s="18" customFormat="1" ht="13.5" customHeight="1">
      <c r="A445" s="18" t="s">
        <v>272</v>
      </c>
      <c r="B445" s="19"/>
      <c r="C445" s="18">
        <v>0</v>
      </c>
      <c r="E445" s="18">
        <v>0</v>
      </c>
      <c r="G445" s="18">
        <v>5251</v>
      </c>
      <c r="I445" s="18">
        <v>0</v>
      </c>
      <c r="K445" s="18">
        <f t="shared" si="7"/>
        <v>5251</v>
      </c>
      <c r="M445" s="18">
        <v>0</v>
      </c>
      <c r="O445" s="18">
        <v>5251</v>
      </c>
      <c r="Q445" s="18">
        <v>0</v>
      </c>
      <c r="R445" s="32"/>
    </row>
    <row r="446" spans="1:18" s="18" customFormat="1" ht="13.5" customHeight="1">
      <c r="A446" s="18" t="s">
        <v>138</v>
      </c>
      <c r="B446" s="19" t="s">
        <v>15</v>
      </c>
      <c r="C446" s="18">
        <v>0</v>
      </c>
      <c r="E446" s="18">
        <v>34631</v>
      </c>
      <c r="G446" s="18">
        <v>5603</v>
      </c>
      <c r="I446" s="18">
        <v>31658</v>
      </c>
      <c r="K446" s="18">
        <f t="shared" si="7"/>
        <v>71892</v>
      </c>
      <c r="M446" s="18">
        <v>49001</v>
      </c>
      <c r="O446" s="18">
        <f>20726+1</f>
        <v>20727</v>
      </c>
      <c r="Q446" s="18">
        <v>2164</v>
      </c>
      <c r="R446" s="32"/>
    </row>
    <row r="447" spans="1:18" s="18" customFormat="1" ht="13.5" customHeight="1">
      <c r="A447" s="18" t="s">
        <v>139</v>
      </c>
      <c r="B447" s="19" t="s">
        <v>15</v>
      </c>
      <c r="C447" s="18">
        <v>0</v>
      </c>
      <c r="E447" s="18">
        <v>17801</v>
      </c>
      <c r="G447" s="18">
        <v>2060</v>
      </c>
      <c r="I447" s="18">
        <v>28990</v>
      </c>
      <c r="K447" s="18">
        <f t="shared" si="7"/>
        <v>48851</v>
      </c>
      <c r="M447" s="18">
        <v>1501</v>
      </c>
      <c r="O447" s="18">
        <f>43229+1</f>
        <v>43230</v>
      </c>
      <c r="Q447" s="18">
        <v>4120</v>
      </c>
      <c r="R447" s="32"/>
    </row>
    <row r="448" spans="1:18" s="18" customFormat="1" ht="13.5" customHeight="1">
      <c r="A448" s="18" t="s">
        <v>140</v>
      </c>
      <c r="B448" s="19" t="s">
        <v>15</v>
      </c>
      <c r="C448" s="17">
        <v>0</v>
      </c>
      <c r="E448" s="17">
        <v>0</v>
      </c>
      <c r="G448" s="17">
        <v>19660</v>
      </c>
      <c r="I448" s="17">
        <v>0</v>
      </c>
      <c r="K448" s="17">
        <f t="shared" si="7"/>
        <v>19660</v>
      </c>
      <c r="M448" s="17">
        <v>19370</v>
      </c>
      <c r="O448" s="17">
        <v>290</v>
      </c>
      <c r="Q448" s="17">
        <v>0</v>
      </c>
      <c r="R448" s="32"/>
    </row>
    <row r="449" spans="1:18" s="18" customFormat="1" ht="13.5" customHeight="1">
      <c r="A449" s="18" t="s">
        <v>189</v>
      </c>
      <c r="B449" s="19" t="s">
        <v>15</v>
      </c>
      <c r="C449" s="17">
        <f>SUM(C432:C448)</f>
        <v>0</v>
      </c>
      <c r="E449" s="17">
        <f>SUM(E432:E448)</f>
        <v>60724</v>
      </c>
      <c r="G449" s="17">
        <f>SUM(G432:G448)</f>
        <v>422139</v>
      </c>
      <c r="I449" s="17">
        <f>SUM(I432:I448)</f>
        <v>149567</v>
      </c>
      <c r="K449" s="20">
        <f t="shared" si="7"/>
        <v>632430</v>
      </c>
      <c r="M449" s="17">
        <f>SUM(M432:M448)</f>
        <v>451175</v>
      </c>
      <c r="O449" s="17">
        <f>SUM(O432:O448)</f>
        <v>174452</v>
      </c>
      <c r="Q449" s="17">
        <f>SUM(Q432:Q448)</f>
        <v>6803</v>
      </c>
      <c r="R449" s="32"/>
    </row>
    <row r="450" spans="2:18" s="18" customFormat="1" ht="13.5" customHeight="1">
      <c r="B450" s="19" t="s">
        <v>15</v>
      </c>
      <c r="R450" s="32"/>
    </row>
    <row r="451" spans="1:18" s="18" customFormat="1" ht="13.5" customHeight="1">
      <c r="A451" s="18" t="s">
        <v>190</v>
      </c>
      <c r="B451" s="22" t="s">
        <v>15</v>
      </c>
      <c r="C451" s="17">
        <f>C411+C415+C421+C425+C429+C449+C427+C413+C423</f>
        <v>396230</v>
      </c>
      <c r="D451" s="21">
        <f>D411+D415+D421+D425+D429+D449+D427+D413</f>
        <v>0</v>
      </c>
      <c r="E451" s="17">
        <f>E411+E415+E421+E425+E429+E449+E427+E413+E423</f>
        <v>297806</v>
      </c>
      <c r="F451" s="21">
        <f>F411+F415+F421+F425+F429+F449+F427+F413</f>
        <v>0</v>
      </c>
      <c r="G451" s="17">
        <f>G411+G415+G421+G425+G429+G449+G427+G413+G423</f>
        <v>1262874</v>
      </c>
      <c r="H451" s="21">
        <f>H411+H415+H421+H425+H429+H449+H427+H413</f>
        <v>0</v>
      </c>
      <c r="I451" s="17">
        <f>I411+I415+I421+I425+I429+I449+I427+I413+I423</f>
        <v>1578609</v>
      </c>
      <c r="J451" s="21">
        <f>J411+J415+J421+J425+J429+J449+J427+J413</f>
        <v>0</v>
      </c>
      <c r="K451" s="17">
        <f t="shared" si="7"/>
        <v>3535519</v>
      </c>
      <c r="M451" s="17">
        <f>M411+M415+M421+M425+M429+M449+M427+M413+M423</f>
        <v>1178733</v>
      </c>
      <c r="N451" s="21">
        <f>N411+N415+N421+N425+N429+N449+N427+N413</f>
        <v>0</v>
      </c>
      <c r="O451" s="17">
        <f>O411+O415+O421+O425+O429+O449+O427+O413+O423</f>
        <v>2321552</v>
      </c>
      <c r="P451" s="21">
        <f>P411+P415+P421+P425+P429+P449+P427+P413</f>
        <v>0</v>
      </c>
      <c r="Q451" s="17">
        <f>Q411+Q415+Q421+Q425+Q429+Q449+Q427+Q413+Q423</f>
        <v>35234</v>
      </c>
      <c r="R451" s="32"/>
    </row>
    <row r="452" spans="2:18" s="18" customFormat="1" ht="13.5" customHeight="1">
      <c r="B452" s="19" t="s">
        <v>15</v>
      </c>
      <c r="R452" s="32"/>
    </row>
    <row r="453" spans="1:18" s="18" customFormat="1" ht="13.5" customHeight="1">
      <c r="A453" s="18" t="s">
        <v>237</v>
      </c>
      <c r="B453" s="19" t="s">
        <v>15</v>
      </c>
      <c r="C453" s="18" t="s">
        <v>15</v>
      </c>
      <c r="E453" s="18" t="s">
        <v>15</v>
      </c>
      <c r="G453" s="18" t="s">
        <v>15</v>
      </c>
      <c r="I453" s="18" t="s">
        <v>15</v>
      </c>
      <c r="M453" s="18" t="s">
        <v>15</v>
      </c>
      <c r="O453" s="18" t="s">
        <v>15</v>
      </c>
      <c r="Q453" s="18" t="s">
        <v>15</v>
      </c>
      <c r="R453" s="32"/>
    </row>
    <row r="454" spans="1:18" s="18" customFormat="1" ht="13.5" customHeight="1">
      <c r="A454" s="18" t="s">
        <v>141</v>
      </c>
      <c r="B454" s="19" t="s">
        <v>15</v>
      </c>
      <c r="C454" s="17">
        <v>0</v>
      </c>
      <c r="E454" s="17">
        <v>5392</v>
      </c>
      <c r="G454" s="17">
        <v>0</v>
      </c>
      <c r="I454" s="17">
        <v>0</v>
      </c>
      <c r="K454" s="17">
        <f t="shared" si="7"/>
        <v>5392</v>
      </c>
      <c r="M454" s="17">
        <v>5055</v>
      </c>
      <c r="O454" s="17">
        <v>0</v>
      </c>
      <c r="Q454" s="17">
        <v>337</v>
      </c>
      <c r="R454" s="32"/>
    </row>
    <row r="455" spans="2:18" s="18" customFormat="1" ht="13.5" customHeight="1">
      <c r="B455" s="19" t="s">
        <v>15</v>
      </c>
      <c r="R455" s="32"/>
    </row>
    <row r="456" spans="1:18" s="18" customFormat="1" ht="13.5" customHeight="1">
      <c r="A456" s="18" t="s">
        <v>142</v>
      </c>
      <c r="B456" s="19"/>
      <c r="C456" s="17">
        <v>0</v>
      </c>
      <c r="E456" s="17">
        <v>0</v>
      </c>
      <c r="G456" s="17">
        <v>0</v>
      </c>
      <c r="I456" s="17">
        <v>10218</v>
      </c>
      <c r="K456" s="17">
        <f t="shared" si="7"/>
        <v>10218</v>
      </c>
      <c r="M456" s="17">
        <v>0</v>
      </c>
      <c r="O456" s="17">
        <v>10218</v>
      </c>
      <c r="Q456" s="17">
        <v>0</v>
      </c>
      <c r="R456" s="32"/>
    </row>
    <row r="457" spans="2:18" s="18" customFormat="1" ht="13.5" customHeight="1">
      <c r="B457" s="19"/>
      <c r="R457" s="32"/>
    </row>
    <row r="458" spans="1:18" s="18" customFormat="1" ht="13.5" customHeight="1">
      <c r="A458" s="18" t="s">
        <v>143</v>
      </c>
      <c r="B458" s="19" t="s">
        <v>15</v>
      </c>
      <c r="C458" s="17">
        <v>0</v>
      </c>
      <c r="E458" s="17">
        <v>478267</v>
      </c>
      <c r="G458" s="17">
        <v>0</v>
      </c>
      <c r="I458" s="17">
        <v>0</v>
      </c>
      <c r="K458" s="17">
        <f t="shared" si="7"/>
        <v>478267</v>
      </c>
      <c r="M458" s="17">
        <f>222897-1</f>
        <v>222896</v>
      </c>
      <c r="O458" s="17">
        <v>0</v>
      </c>
      <c r="Q458" s="17">
        <v>255371</v>
      </c>
      <c r="R458" s="32"/>
    </row>
    <row r="459" spans="2:18" s="18" customFormat="1" ht="13.5" customHeight="1">
      <c r="B459" s="19" t="s">
        <v>15</v>
      </c>
      <c r="R459" s="32"/>
    </row>
    <row r="460" spans="1:18" s="18" customFormat="1" ht="13.5" customHeight="1">
      <c r="A460" s="18" t="s">
        <v>123</v>
      </c>
      <c r="B460" s="19" t="s">
        <v>15</v>
      </c>
      <c r="C460" s="17">
        <v>0</v>
      </c>
      <c r="E460" s="17">
        <v>0</v>
      </c>
      <c r="G460" s="17">
        <v>0</v>
      </c>
      <c r="I460" s="17">
        <v>127332</v>
      </c>
      <c r="K460" s="17">
        <f t="shared" si="7"/>
        <v>127332</v>
      </c>
      <c r="M460" s="17">
        <v>71523</v>
      </c>
      <c r="O460" s="17">
        <v>55809</v>
      </c>
      <c r="Q460" s="17">
        <v>0</v>
      </c>
      <c r="R460" s="32"/>
    </row>
    <row r="461" spans="2:18" s="18" customFormat="1" ht="13.5" customHeight="1">
      <c r="B461" s="19" t="s">
        <v>15</v>
      </c>
      <c r="R461" s="32"/>
    </row>
    <row r="462" spans="1:18" s="18" customFormat="1" ht="13.5" customHeight="1">
      <c r="A462" s="18" t="s">
        <v>252</v>
      </c>
      <c r="B462" s="19" t="s">
        <v>15</v>
      </c>
      <c r="C462" s="17">
        <v>0</v>
      </c>
      <c r="E462" s="17">
        <v>2779</v>
      </c>
      <c r="G462" s="17">
        <v>0</v>
      </c>
      <c r="I462" s="17">
        <v>0</v>
      </c>
      <c r="K462" s="17">
        <f t="shared" si="7"/>
        <v>2779</v>
      </c>
      <c r="M462" s="17">
        <f>2606-1</f>
        <v>2605</v>
      </c>
      <c r="O462" s="17">
        <v>0</v>
      </c>
      <c r="Q462" s="17">
        <v>174</v>
      </c>
      <c r="R462" s="32"/>
    </row>
    <row r="463" spans="2:18" s="18" customFormat="1" ht="13.5" customHeight="1">
      <c r="B463" s="19" t="s">
        <v>15</v>
      </c>
      <c r="R463" s="32"/>
    </row>
    <row r="464" spans="1:18" s="18" customFormat="1" ht="13.5" customHeight="1">
      <c r="A464" s="18" t="s">
        <v>298</v>
      </c>
      <c r="B464" s="19" t="s">
        <v>15</v>
      </c>
      <c r="C464" s="17">
        <v>0</v>
      </c>
      <c r="E464" s="17">
        <v>0</v>
      </c>
      <c r="G464" s="17">
        <v>67891</v>
      </c>
      <c r="I464" s="17">
        <v>570055</v>
      </c>
      <c r="K464" s="17">
        <f t="shared" si="7"/>
        <v>637946</v>
      </c>
      <c r="M464" s="17">
        <v>370841</v>
      </c>
      <c r="O464" s="17">
        <v>267105</v>
      </c>
      <c r="Q464" s="17">
        <v>0</v>
      </c>
      <c r="R464" s="32"/>
    </row>
    <row r="465" spans="2:18" s="18" customFormat="1" ht="13.5" customHeight="1">
      <c r="B465" s="19"/>
      <c r="C465" s="21"/>
      <c r="E465" s="21"/>
      <c r="G465" s="21"/>
      <c r="I465" s="21"/>
      <c r="M465" s="21"/>
      <c r="O465" s="21"/>
      <c r="Q465" s="21"/>
      <c r="R465" s="32"/>
    </row>
    <row r="466" spans="1:18" s="18" customFormat="1" ht="13.5" customHeight="1">
      <c r="A466" s="18" t="s">
        <v>144</v>
      </c>
      <c r="B466" s="19" t="s">
        <v>15</v>
      </c>
      <c r="C466" s="17">
        <v>0</v>
      </c>
      <c r="E466" s="17">
        <v>6704</v>
      </c>
      <c r="G466" s="17">
        <v>0</v>
      </c>
      <c r="I466" s="17">
        <v>0</v>
      </c>
      <c r="K466" s="17">
        <f t="shared" si="7"/>
        <v>6704</v>
      </c>
      <c r="M466" s="17">
        <v>6285</v>
      </c>
      <c r="O466" s="17">
        <v>0</v>
      </c>
      <c r="Q466" s="17">
        <v>419</v>
      </c>
      <c r="R466" s="32"/>
    </row>
    <row r="467" spans="2:18" s="18" customFormat="1" ht="13.5" customHeight="1">
      <c r="B467" s="19" t="s">
        <v>15</v>
      </c>
      <c r="R467" s="32"/>
    </row>
    <row r="468" spans="1:18" s="18" customFormat="1" ht="13.5" customHeight="1">
      <c r="A468" s="18" t="s">
        <v>30</v>
      </c>
      <c r="B468" s="19" t="s">
        <v>15</v>
      </c>
      <c r="R468" s="32"/>
    </row>
    <row r="469" spans="1:18" s="18" customFormat="1" ht="13.5" customHeight="1">
      <c r="A469" s="18" t="s">
        <v>145</v>
      </c>
      <c r="B469" s="19" t="s">
        <v>15</v>
      </c>
      <c r="C469" s="17">
        <v>0</v>
      </c>
      <c r="E469" s="17">
        <v>43829</v>
      </c>
      <c r="G469" s="17">
        <v>1163</v>
      </c>
      <c r="I469" s="17">
        <v>0</v>
      </c>
      <c r="K469" s="17">
        <f aca="true" t="shared" si="8" ref="K469:K527">IF(SUM(C469:I469)=SUM(M469:Q469),SUM(C469:I469),SUM(M469:Q469)-SUM(C469:I469))</f>
        <v>44992</v>
      </c>
      <c r="M469" s="17">
        <v>30717</v>
      </c>
      <c r="O469" s="17">
        <v>14275</v>
      </c>
      <c r="Q469" s="17">
        <v>0</v>
      </c>
      <c r="R469" s="32"/>
    </row>
    <row r="470" spans="2:18" s="18" customFormat="1" ht="13.5" customHeight="1">
      <c r="B470" s="19" t="s">
        <v>15</v>
      </c>
      <c r="R470" s="32"/>
    </row>
    <row r="471" spans="1:18" s="18" customFormat="1" ht="13.5" customHeight="1">
      <c r="A471" s="18" t="s">
        <v>31</v>
      </c>
      <c r="B471" s="19" t="s">
        <v>15</v>
      </c>
      <c r="C471" s="18" t="s">
        <v>15</v>
      </c>
      <c r="E471" s="18" t="s">
        <v>15</v>
      </c>
      <c r="G471" s="18" t="s">
        <v>15</v>
      </c>
      <c r="I471" s="18" t="s">
        <v>15</v>
      </c>
      <c r="M471" s="18" t="s">
        <v>15</v>
      </c>
      <c r="O471" s="18" t="s">
        <v>15</v>
      </c>
      <c r="Q471" s="18" t="s">
        <v>15</v>
      </c>
      <c r="R471" s="32"/>
    </row>
    <row r="472" spans="1:18" s="18" customFormat="1" ht="13.5" customHeight="1">
      <c r="A472" s="18" t="s">
        <v>281</v>
      </c>
      <c r="B472" s="19" t="s">
        <v>15</v>
      </c>
      <c r="C472" s="18">
        <v>0</v>
      </c>
      <c r="E472" s="18">
        <v>0</v>
      </c>
      <c r="G472" s="18">
        <v>20006</v>
      </c>
      <c r="I472" s="18">
        <v>0</v>
      </c>
      <c r="K472" s="18">
        <f t="shared" si="8"/>
        <v>20006</v>
      </c>
      <c r="M472" s="18">
        <v>0</v>
      </c>
      <c r="O472" s="18">
        <v>20006</v>
      </c>
      <c r="Q472" s="18">
        <v>0</v>
      </c>
      <c r="R472" s="32"/>
    </row>
    <row r="473" spans="1:18" s="18" customFormat="1" ht="13.5" customHeight="1">
      <c r="A473" s="18" t="s">
        <v>146</v>
      </c>
      <c r="B473" s="19" t="s">
        <v>15</v>
      </c>
      <c r="C473" s="18">
        <v>0</v>
      </c>
      <c r="E473" s="18">
        <v>0</v>
      </c>
      <c r="G473" s="18">
        <v>0</v>
      </c>
      <c r="I473" s="18">
        <v>67299</v>
      </c>
      <c r="K473" s="18">
        <f t="shared" si="8"/>
        <v>67299</v>
      </c>
      <c r="M473" s="18">
        <v>17642</v>
      </c>
      <c r="O473" s="18">
        <f>49656+1</f>
        <v>49657</v>
      </c>
      <c r="Q473" s="18">
        <v>0</v>
      </c>
      <c r="R473" s="32"/>
    </row>
    <row r="474" spans="1:18" s="18" customFormat="1" ht="13.5" customHeight="1">
      <c r="A474" s="18" t="s">
        <v>129</v>
      </c>
      <c r="B474" s="19" t="s">
        <v>15</v>
      </c>
      <c r="C474" s="18">
        <v>0</v>
      </c>
      <c r="E474" s="18">
        <v>0</v>
      </c>
      <c r="G474" s="18">
        <v>2139</v>
      </c>
      <c r="I474" s="18">
        <v>0</v>
      </c>
      <c r="K474" s="18">
        <f t="shared" si="8"/>
        <v>2139</v>
      </c>
      <c r="M474" s="18">
        <v>0</v>
      </c>
      <c r="O474" s="18">
        <v>2139</v>
      </c>
      <c r="Q474" s="18">
        <v>0</v>
      </c>
      <c r="R474" s="32"/>
    </row>
    <row r="475" spans="1:18" s="18" customFormat="1" ht="13.5" customHeight="1">
      <c r="A475" s="18" t="s">
        <v>299</v>
      </c>
      <c r="B475" s="19"/>
      <c r="C475" s="18">
        <v>0</v>
      </c>
      <c r="E475" s="18">
        <v>0</v>
      </c>
      <c r="G475" s="18">
        <v>0</v>
      </c>
      <c r="I475" s="18">
        <v>676</v>
      </c>
      <c r="K475" s="18">
        <f t="shared" si="8"/>
        <v>676</v>
      </c>
      <c r="M475" s="18">
        <v>0</v>
      </c>
      <c r="O475" s="18">
        <v>676</v>
      </c>
      <c r="Q475" s="18">
        <v>0</v>
      </c>
      <c r="R475" s="32"/>
    </row>
    <row r="476" spans="1:18" s="18" customFormat="1" ht="13.5" customHeight="1">
      <c r="A476" s="18" t="s">
        <v>205</v>
      </c>
      <c r="B476" s="19" t="s">
        <v>15</v>
      </c>
      <c r="C476" s="18">
        <v>0</v>
      </c>
      <c r="E476" s="18">
        <v>0</v>
      </c>
      <c r="G476" s="18">
        <v>118326</v>
      </c>
      <c r="I476" s="18">
        <v>0</v>
      </c>
      <c r="K476" s="18">
        <f t="shared" si="8"/>
        <v>118326</v>
      </c>
      <c r="M476" s="18">
        <v>81153</v>
      </c>
      <c r="O476" s="18">
        <v>27898</v>
      </c>
      <c r="Q476" s="18">
        <v>9275</v>
      </c>
      <c r="R476" s="32"/>
    </row>
    <row r="477" spans="1:18" s="18" customFormat="1" ht="13.5" customHeight="1">
      <c r="A477" s="18" t="s">
        <v>152</v>
      </c>
      <c r="B477" s="19"/>
      <c r="C477" s="18">
        <v>0</v>
      </c>
      <c r="E477" s="18">
        <v>0</v>
      </c>
      <c r="G477" s="18">
        <v>8633</v>
      </c>
      <c r="I477" s="18">
        <v>0</v>
      </c>
      <c r="K477" s="18">
        <f t="shared" si="8"/>
        <v>8633</v>
      </c>
      <c r="M477" s="18">
        <v>0</v>
      </c>
      <c r="O477" s="18">
        <v>8633</v>
      </c>
      <c r="Q477" s="18">
        <v>0</v>
      </c>
      <c r="R477" s="32"/>
    </row>
    <row r="478" spans="1:18" s="18" customFormat="1" ht="13.5" customHeight="1">
      <c r="A478" s="18" t="s">
        <v>147</v>
      </c>
      <c r="B478" s="19" t="s">
        <v>15</v>
      </c>
      <c r="C478" s="18">
        <v>0</v>
      </c>
      <c r="E478" s="18">
        <v>0</v>
      </c>
      <c r="G478" s="18">
        <v>525</v>
      </c>
      <c r="I478" s="18">
        <v>60591</v>
      </c>
      <c r="K478" s="18">
        <f t="shared" si="8"/>
        <v>61116</v>
      </c>
      <c r="M478" s="18">
        <v>26026</v>
      </c>
      <c r="O478" s="18">
        <v>35090</v>
      </c>
      <c r="Q478" s="18">
        <v>0</v>
      </c>
      <c r="R478" s="32"/>
    </row>
    <row r="479" spans="1:18" s="18" customFormat="1" ht="13.5" customHeight="1">
      <c r="A479" s="18" t="s">
        <v>300</v>
      </c>
      <c r="B479" s="19" t="s">
        <v>15</v>
      </c>
      <c r="C479" s="18">
        <v>0</v>
      </c>
      <c r="E479" s="18">
        <v>0</v>
      </c>
      <c r="G479" s="18">
        <v>327</v>
      </c>
      <c r="I479" s="18">
        <v>0</v>
      </c>
      <c r="K479" s="18">
        <f t="shared" si="8"/>
        <v>327</v>
      </c>
      <c r="M479" s="18">
        <v>0</v>
      </c>
      <c r="O479" s="18">
        <v>327</v>
      </c>
      <c r="Q479" s="18">
        <v>0</v>
      </c>
      <c r="R479" s="32"/>
    </row>
    <row r="480" spans="1:18" s="18" customFormat="1" ht="13.5" customHeight="1">
      <c r="A480" s="18" t="s">
        <v>148</v>
      </c>
      <c r="B480" s="19" t="s">
        <v>15</v>
      </c>
      <c r="C480" s="18">
        <v>0</v>
      </c>
      <c r="E480" s="18">
        <v>74086</v>
      </c>
      <c r="G480" s="18">
        <v>13577</v>
      </c>
      <c r="I480" s="18">
        <v>1024927</v>
      </c>
      <c r="K480" s="18">
        <f t="shared" si="8"/>
        <v>1112590</v>
      </c>
      <c r="M480" s="18">
        <v>187290</v>
      </c>
      <c r="O480" s="18">
        <v>920670</v>
      </c>
      <c r="Q480" s="18">
        <v>4630</v>
      </c>
      <c r="R480" s="32"/>
    </row>
    <row r="481" spans="1:18" s="18" customFormat="1" ht="13.5" customHeight="1">
      <c r="A481" s="18" t="s">
        <v>253</v>
      </c>
      <c r="B481" s="19" t="s">
        <v>15</v>
      </c>
      <c r="C481" s="17">
        <v>0</v>
      </c>
      <c r="E481" s="17">
        <v>0</v>
      </c>
      <c r="G481" s="17">
        <v>0</v>
      </c>
      <c r="I481" s="17">
        <v>1813748</v>
      </c>
      <c r="K481" s="17">
        <f t="shared" si="8"/>
        <v>1813748</v>
      </c>
      <c r="M481" s="17">
        <v>923081</v>
      </c>
      <c r="O481" s="17">
        <v>890667</v>
      </c>
      <c r="Q481" s="17">
        <v>0</v>
      </c>
      <c r="R481" s="32"/>
    </row>
    <row r="482" spans="1:18" s="18" customFormat="1" ht="13.5" customHeight="1">
      <c r="A482" s="18" t="s">
        <v>199</v>
      </c>
      <c r="B482" s="19" t="s">
        <v>15</v>
      </c>
      <c r="C482" s="17">
        <f>SUM(C472:C481)</f>
        <v>0</v>
      </c>
      <c r="E482" s="17">
        <f>SUM(E472:E481)</f>
        <v>74086</v>
      </c>
      <c r="G482" s="17">
        <f>SUM(G472:G481)</f>
        <v>163533</v>
      </c>
      <c r="I482" s="17">
        <f>SUM(I472:I481)</f>
        <v>2967241</v>
      </c>
      <c r="K482" s="20">
        <f t="shared" si="8"/>
        <v>3204860</v>
      </c>
      <c r="M482" s="17">
        <f>SUM(M472:M481)</f>
        <v>1235192</v>
      </c>
      <c r="O482" s="17">
        <f>SUM(O472:O481)</f>
        <v>1955763</v>
      </c>
      <c r="Q482" s="17">
        <f>SUM(Q472:Q481)</f>
        <v>13905</v>
      </c>
      <c r="R482" s="32"/>
    </row>
    <row r="483" spans="2:18" s="18" customFormat="1" ht="13.5" customHeight="1">
      <c r="B483" s="19"/>
      <c r="C483" s="21"/>
      <c r="E483" s="21"/>
      <c r="G483" s="21"/>
      <c r="I483" s="21"/>
      <c r="M483" s="21"/>
      <c r="O483" s="21"/>
      <c r="Q483" s="21"/>
      <c r="R483" s="32"/>
    </row>
    <row r="484" spans="1:18" s="18" customFormat="1" ht="13.5" customHeight="1">
      <c r="A484" s="18" t="s">
        <v>191</v>
      </c>
      <c r="B484" s="19" t="s">
        <v>15</v>
      </c>
      <c r="C484" s="17">
        <f>SUM(C482,C469,C466,C464,C462,C460,C458,C456,C454)</f>
        <v>0</v>
      </c>
      <c r="E484" s="17">
        <f>SUM(E482,E469,E466,E464,E462,E460,E458,E456,E454)</f>
        <v>611057</v>
      </c>
      <c r="G484" s="17">
        <f>SUM(G482,G469,G466,G464,G462,G460,G458,G456,G454)</f>
        <v>232587</v>
      </c>
      <c r="I484" s="17">
        <f>SUM(I482,I469,I466,I464,I462,I460,I458,I456,I454)</f>
        <v>3674846</v>
      </c>
      <c r="K484" s="17">
        <f t="shared" si="8"/>
        <v>4518490</v>
      </c>
      <c r="M484" s="17">
        <f>SUM(M482,M469,M466,M464,M462,M460,M458,M456,M454)</f>
        <v>1945114</v>
      </c>
      <c r="O484" s="17">
        <f>SUM(O482,O469,O466,O464,O462,O460,O458,O456,O454)</f>
        <v>2303170</v>
      </c>
      <c r="Q484" s="17">
        <f>SUM(Q482,Q469,Q466,Q464,Q462,Q460,Q458,Q456,Q454)</f>
        <v>270206</v>
      </c>
      <c r="R484" s="32"/>
    </row>
    <row r="485" spans="2:18" s="18" customFormat="1" ht="13.5" customHeight="1">
      <c r="B485" s="19" t="s">
        <v>15</v>
      </c>
      <c r="R485" s="32"/>
    </row>
    <row r="486" spans="1:18" s="18" customFormat="1" ht="13.5" customHeight="1">
      <c r="A486" s="18" t="s">
        <v>238</v>
      </c>
      <c r="B486" s="19" t="s">
        <v>15</v>
      </c>
      <c r="C486" s="18" t="s">
        <v>15</v>
      </c>
      <c r="E486" s="18" t="s">
        <v>15</v>
      </c>
      <c r="G486" s="18" t="s">
        <v>15</v>
      </c>
      <c r="I486" s="18" t="s">
        <v>15</v>
      </c>
      <c r="M486" s="18" t="s">
        <v>15</v>
      </c>
      <c r="O486" s="18" t="s">
        <v>15</v>
      </c>
      <c r="Q486" s="18" t="s">
        <v>15</v>
      </c>
      <c r="R486" s="32"/>
    </row>
    <row r="487" spans="1:18" s="18" customFormat="1" ht="13.5" customHeight="1">
      <c r="A487" s="18" t="s">
        <v>32</v>
      </c>
      <c r="B487" s="19" t="s">
        <v>15</v>
      </c>
      <c r="E487" s="18" t="s">
        <v>15</v>
      </c>
      <c r="G487" s="18" t="s">
        <v>15</v>
      </c>
      <c r="I487" s="18" t="s">
        <v>15</v>
      </c>
      <c r="M487" s="18" t="s">
        <v>15</v>
      </c>
      <c r="O487" s="18" t="s">
        <v>15</v>
      </c>
      <c r="Q487" s="18" t="s">
        <v>15</v>
      </c>
      <c r="R487" s="32"/>
    </row>
    <row r="488" spans="1:18" s="18" customFormat="1" ht="13.5" customHeight="1">
      <c r="A488" s="18" t="s">
        <v>149</v>
      </c>
      <c r="B488" s="19" t="s">
        <v>15</v>
      </c>
      <c r="C488" s="18">
        <v>0</v>
      </c>
      <c r="E488" s="18">
        <v>152</v>
      </c>
      <c r="G488" s="18">
        <v>84605</v>
      </c>
      <c r="I488" s="18">
        <v>0</v>
      </c>
      <c r="K488" s="18">
        <f t="shared" si="8"/>
        <v>84757</v>
      </c>
      <c r="M488" s="18">
        <v>55523</v>
      </c>
      <c r="O488" s="18">
        <f>29225-1</f>
        <v>29224</v>
      </c>
      <c r="Q488" s="18">
        <v>10</v>
      </c>
      <c r="R488" s="32"/>
    </row>
    <row r="489" spans="1:18" s="18" customFormat="1" ht="13.5" customHeight="1">
      <c r="A489" s="18" t="s">
        <v>282</v>
      </c>
      <c r="B489" s="19"/>
      <c r="C489" s="18">
        <v>0</v>
      </c>
      <c r="E489" s="18">
        <v>0</v>
      </c>
      <c r="G489" s="18">
        <v>1250</v>
      </c>
      <c r="I489" s="18">
        <v>0</v>
      </c>
      <c r="K489" s="18">
        <f t="shared" si="8"/>
        <v>1250</v>
      </c>
      <c r="M489" s="18">
        <v>1250</v>
      </c>
      <c r="O489" s="18">
        <v>0</v>
      </c>
      <c r="Q489" s="18">
        <v>0</v>
      </c>
      <c r="R489" s="32"/>
    </row>
    <row r="490" spans="1:18" s="18" customFormat="1" ht="13.5" customHeight="1">
      <c r="A490" s="18" t="s">
        <v>283</v>
      </c>
      <c r="B490" s="19" t="s">
        <v>15</v>
      </c>
      <c r="C490" s="18">
        <v>0</v>
      </c>
      <c r="E490" s="18">
        <v>4171</v>
      </c>
      <c r="G490" s="18">
        <v>21291</v>
      </c>
      <c r="I490" s="18">
        <v>313761</v>
      </c>
      <c r="K490" s="18">
        <f t="shared" si="8"/>
        <v>339223</v>
      </c>
      <c r="M490" s="18">
        <v>97606</v>
      </c>
      <c r="O490" s="18">
        <v>241356</v>
      </c>
      <c r="Q490" s="18">
        <v>261</v>
      </c>
      <c r="R490" s="32"/>
    </row>
    <row r="491" spans="1:18" s="18" customFormat="1" ht="13.5" customHeight="1">
      <c r="A491" s="18" t="s">
        <v>284</v>
      </c>
      <c r="B491" s="19" t="s">
        <v>15</v>
      </c>
      <c r="C491" s="18">
        <v>0</v>
      </c>
      <c r="E491" s="18">
        <v>1772</v>
      </c>
      <c r="G491" s="18">
        <v>0</v>
      </c>
      <c r="I491" s="18">
        <v>2321</v>
      </c>
      <c r="K491" s="18">
        <f t="shared" si="8"/>
        <v>4093</v>
      </c>
      <c r="M491" s="18">
        <v>1662</v>
      </c>
      <c r="O491" s="18">
        <f>2321-1</f>
        <v>2320</v>
      </c>
      <c r="Q491" s="18">
        <v>111</v>
      </c>
      <c r="R491" s="32"/>
    </row>
    <row r="492" spans="1:18" s="18" customFormat="1" ht="13.5" customHeight="1">
      <c r="A492" s="18" t="s">
        <v>285</v>
      </c>
      <c r="B492" s="19" t="s">
        <v>15</v>
      </c>
      <c r="C492" s="18">
        <v>0</v>
      </c>
      <c r="E492" s="18">
        <v>11071</v>
      </c>
      <c r="G492" s="18">
        <v>0</v>
      </c>
      <c r="I492" s="18">
        <v>454599</v>
      </c>
      <c r="K492" s="18">
        <f t="shared" si="8"/>
        <v>465670</v>
      </c>
      <c r="M492" s="18">
        <v>275216</v>
      </c>
      <c r="O492" s="18">
        <v>189762</v>
      </c>
      <c r="Q492" s="18">
        <v>692</v>
      </c>
      <c r="R492" s="32"/>
    </row>
    <row r="493" spans="1:18" s="18" customFormat="1" ht="13.5" customHeight="1">
      <c r="A493" s="18" t="s">
        <v>286</v>
      </c>
      <c r="B493" s="19" t="s">
        <v>15</v>
      </c>
      <c r="C493" s="18">
        <v>0</v>
      </c>
      <c r="E493" s="18">
        <v>2361</v>
      </c>
      <c r="G493" s="18">
        <v>0</v>
      </c>
      <c r="I493" s="18">
        <v>1038957</v>
      </c>
      <c r="K493" s="18">
        <f t="shared" si="8"/>
        <v>1041318</v>
      </c>
      <c r="M493" s="18">
        <v>833799</v>
      </c>
      <c r="O493" s="18">
        <f>207372-1</f>
        <v>207371</v>
      </c>
      <c r="Q493" s="18">
        <v>148</v>
      </c>
      <c r="R493" s="32"/>
    </row>
    <row r="494" spans="1:18" s="18" customFormat="1" ht="13.5" customHeight="1">
      <c r="A494" s="18" t="s">
        <v>281</v>
      </c>
      <c r="B494" s="19" t="s">
        <v>15</v>
      </c>
      <c r="C494" s="17">
        <v>0</v>
      </c>
      <c r="E494" s="17">
        <v>0</v>
      </c>
      <c r="G494" s="17">
        <v>0</v>
      </c>
      <c r="I494" s="17">
        <v>601</v>
      </c>
      <c r="K494" s="17">
        <f t="shared" si="8"/>
        <v>601</v>
      </c>
      <c r="M494" s="17">
        <v>0</v>
      </c>
      <c r="O494" s="17">
        <v>601</v>
      </c>
      <c r="Q494" s="17">
        <v>0</v>
      </c>
      <c r="R494" s="32"/>
    </row>
    <row r="495" spans="1:18" s="18" customFormat="1" ht="13.5" customHeight="1">
      <c r="A495" s="18" t="s">
        <v>192</v>
      </c>
      <c r="B495" s="19" t="s">
        <v>15</v>
      </c>
      <c r="C495" s="17">
        <f>SUM(C488:C494)</f>
        <v>0</v>
      </c>
      <c r="E495" s="17">
        <f>SUM(E488:E494)</f>
        <v>19527</v>
      </c>
      <c r="G495" s="17">
        <f>SUM(G488:G494)</f>
        <v>107146</v>
      </c>
      <c r="I495" s="17">
        <f>SUM(I488:I494)</f>
        <v>1810239</v>
      </c>
      <c r="K495" s="20">
        <f t="shared" si="8"/>
        <v>1936912</v>
      </c>
      <c r="M495" s="17">
        <f>SUM(M488:M494)</f>
        <v>1265056</v>
      </c>
      <c r="O495" s="17">
        <f>SUM(O488:O494)</f>
        <v>670634</v>
      </c>
      <c r="Q495" s="17">
        <f>SUM(Q488:Q494)</f>
        <v>1222</v>
      </c>
      <c r="R495" s="32"/>
    </row>
    <row r="496" spans="2:18" s="18" customFormat="1" ht="13.5" customHeight="1">
      <c r="B496" s="19" t="s">
        <v>15</v>
      </c>
      <c r="R496" s="32"/>
    </row>
    <row r="497" spans="1:18" s="18" customFormat="1" ht="13.5" customHeight="1">
      <c r="A497" s="18" t="s">
        <v>33</v>
      </c>
      <c r="B497" s="19" t="s">
        <v>15</v>
      </c>
      <c r="R497" s="32"/>
    </row>
    <row r="498" spans="1:18" s="18" customFormat="1" ht="13.5" customHeight="1">
      <c r="A498" s="18" t="s">
        <v>150</v>
      </c>
      <c r="B498" s="19" t="s">
        <v>15</v>
      </c>
      <c r="C498" s="27">
        <v>0</v>
      </c>
      <c r="D498" s="27"/>
      <c r="E498" s="27">
        <v>5443</v>
      </c>
      <c r="F498" s="27"/>
      <c r="G498" s="27">
        <v>0</v>
      </c>
      <c r="H498" s="27"/>
      <c r="I498" s="27">
        <v>492480</v>
      </c>
      <c r="J498" s="27"/>
      <c r="K498" s="18">
        <f t="shared" si="8"/>
        <v>497923</v>
      </c>
      <c r="L498" s="27"/>
      <c r="M498" s="27">
        <v>366714</v>
      </c>
      <c r="N498" s="27"/>
      <c r="O498" s="27">
        <v>130869</v>
      </c>
      <c r="P498" s="27"/>
      <c r="Q498" s="27">
        <v>340</v>
      </c>
      <c r="R498" s="32"/>
    </row>
    <row r="499" spans="1:18" s="18" customFormat="1" ht="13.5" customHeight="1">
      <c r="A499" s="18" t="s">
        <v>301</v>
      </c>
      <c r="B499" s="19" t="s">
        <v>15</v>
      </c>
      <c r="C499" s="17">
        <v>0</v>
      </c>
      <c r="E499" s="17">
        <v>0</v>
      </c>
      <c r="G499" s="17">
        <v>0</v>
      </c>
      <c r="I499" s="17">
        <v>52989</v>
      </c>
      <c r="K499" s="17">
        <f t="shared" si="8"/>
        <v>52989</v>
      </c>
      <c r="M499" s="17">
        <v>0</v>
      </c>
      <c r="O499" s="17">
        <v>52989</v>
      </c>
      <c r="Q499" s="17">
        <v>0</v>
      </c>
      <c r="R499" s="32"/>
    </row>
    <row r="500" spans="1:18" s="18" customFormat="1" ht="13.5" customHeight="1">
      <c r="A500" s="18" t="s">
        <v>193</v>
      </c>
      <c r="B500" s="19" t="s">
        <v>15</v>
      </c>
      <c r="C500" s="17">
        <f>SUM(C498:C499)</f>
        <v>0</v>
      </c>
      <c r="E500" s="17">
        <f>SUM(E498:E499)</f>
        <v>5443</v>
      </c>
      <c r="G500" s="17">
        <f>SUM(G498:G499)</f>
        <v>0</v>
      </c>
      <c r="I500" s="17">
        <f>SUM(I498:I499)</f>
        <v>545469</v>
      </c>
      <c r="K500" s="20">
        <f t="shared" si="8"/>
        <v>550912</v>
      </c>
      <c r="M500" s="17">
        <f>SUM(M498:M499)</f>
        <v>366714</v>
      </c>
      <c r="O500" s="17">
        <f>SUM(O498:O499)</f>
        <v>183858</v>
      </c>
      <c r="Q500" s="17">
        <f>SUM(Q498:Q499)</f>
        <v>340</v>
      </c>
      <c r="R500" s="32"/>
    </row>
    <row r="501" spans="2:18" s="18" customFormat="1" ht="13.5" customHeight="1">
      <c r="B501" s="19" t="s">
        <v>15</v>
      </c>
      <c r="R501" s="32"/>
    </row>
    <row r="502" spans="1:18" s="18" customFormat="1" ht="13.5" customHeight="1">
      <c r="A502" s="18" t="s">
        <v>34</v>
      </c>
      <c r="B502" s="19" t="s">
        <v>15</v>
      </c>
      <c r="C502" s="18" t="s">
        <v>15</v>
      </c>
      <c r="E502" s="18" t="s">
        <v>15</v>
      </c>
      <c r="G502" s="18" t="s">
        <v>15</v>
      </c>
      <c r="I502" s="18" t="s">
        <v>15</v>
      </c>
      <c r="M502" s="18" t="s">
        <v>15</v>
      </c>
      <c r="O502" s="18" t="s">
        <v>15</v>
      </c>
      <c r="Q502" s="18" t="s">
        <v>15</v>
      </c>
      <c r="R502" s="32"/>
    </row>
    <row r="503" spans="1:18" s="18" customFormat="1" ht="13.5" customHeight="1">
      <c r="A503" s="18" t="s">
        <v>302</v>
      </c>
      <c r="B503" s="19"/>
      <c r="C503" s="18">
        <v>0</v>
      </c>
      <c r="E503" s="18">
        <v>0</v>
      </c>
      <c r="G503" s="18">
        <v>0</v>
      </c>
      <c r="I503" s="18">
        <v>6067</v>
      </c>
      <c r="K503" s="18">
        <f t="shared" si="8"/>
        <v>6067</v>
      </c>
      <c r="M503" s="18">
        <v>6067</v>
      </c>
      <c r="O503" s="18">
        <v>0</v>
      </c>
      <c r="Q503" s="18">
        <v>0</v>
      </c>
      <c r="R503" s="32"/>
    </row>
    <row r="504" spans="1:18" s="18" customFormat="1" ht="13.5" customHeight="1">
      <c r="A504" s="18" t="s">
        <v>151</v>
      </c>
      <c r="B504" s="19" t="s">
        <v>15</v>
      </c>
      <c r="C504" s="18">
        <v>0</v>
      </c>
      <c r="E504" s="18">
        <v>5165</v>
      </c>
      <c r="G504" s="18">
        <v>0</v>
      </c>
      <c r="I504" s="18">
        <v>44034</v>
      </c>
      <c r="K504" s="17">
        <f t="shared" si="8"/>
        <v>49199</v>
      </c>
      <c r="M504" s="18">
        <v>37998</v>
      </c>
      <c r="O504" s="18">
        <f>10877+1</f>
        <v>10878</v>
      </c>
      <c r="Q504" s="18">
        <v>323</v>
      </c>
      <c r="R504" s="32"/>
    </row>
    <row r="505" spans="1:18" s="18" customFormat="1" ht="13.5" customHeight="1">
      <c r="A505" s="18" t="s">
        <v>240</v>
      </c>
      <c r="B505" s="19" t="s">
        <v>15</v>
      </c>
      <c r="C505" s="20">
        <f>SUM(C503:C504)</f>
        <v>0</v>
      </c>
      <c r="E505" s="20">
        <f>SUM(E503:E504)</f>
        <v>5165</v>
      </c>
      <c r="G505" s="20">
        <f>SUM(G503:G504)</f>
        <v>0</v>
      </c>
      <c r="I505" s="20">
        <f>SUM(I503:I504)</f>
        <v>50101</v>
      </c>
      <c r="K505" s="20">
        <f t="shared" si="8"/>
        <v>55266</v>
      </c>
      <c r="M505" s="20">
        <f>SUM(M503:M504)</f>
        <v>44065</v>
      </c>
      <c r="O505" s="20">
        <f>SUM(O503:O504)</f>
        <v>10878</v>
      </c>
      <c r="Q505" s="20">
        <f>SUM(Q503:Q504)</f>
        <v>323</v>
      </c>
      <c r="R505" s="32"/>
    </row>
    <row r="506" spans="2:18" s="18" customFormat="1" ht="13.5" customHeight="1">
      <c r="B506" s="19"/>
      <c r="C506" s="21"/>
      <c r="E506" s="21"/>
      <c r="G506" s="21"/>
      <c r="I506" s="21"/>
      <c r="M506" s="21"/>
      <c r="O506" s="21"/>
      <c r="Q506" s="21"/>
      <c r="R506" s="32"/>
    </row>
    <row r="507" spans="1:18" s="18" customFormat="1" ht="13.5" customHeight="1">
      <c r="A507" s="18" t="s">
        <v>307</v>
      </c>
      <c r="B507" s="19" t="s">
        <v>15</v>
      </c>
      <c r="R507" s="32"/>
    </row>
    <row r="508" spans="1:18" s="18" customFormat="1" ht="13.5" customHeight="1">
      <c r="A508" s="18" t="s">
        <v>303</v>
      </c>
      <c r="B508" s="19" t="s">
        <v>15</v>
      </c>
      <c r="C508" s="17">
        <v>0</v>
      </c>
      <c r="E508" s="17">
        <v>4471</v>
      </c>
      <c r="G508" s="17">
        <v>0</v>
      </c>
      <c r="I508" s="17">
        <v>0</v>
      </c>
      <c r="K508" s="17">
        <f t="shared" si="8"/>
        <v>4471</v>
      </c>
      <c r="M508" s="17">
        <v>4192</v>
      </c>
      <c r="O508" s="17">
        <v>0</v>
      </c>
      <c r="Q508" s="17">
        <v>279</v>
      </c>
      <c r="R508" s="32"/>
    </row>
    <row r="509" spans="2:18" s="18" customFormat="1" ht="13.5" customHeight="1">
      <c r="B509" s="19" t="s">
        <v>15</v>
      </c>
      <c r="R509" s="32"/>
    </row>
    <row r="510" spans="1:18" s="18" customFormat="1" ht="13.5" customHeight="1">
      <c r="A510" s="18" t="s">
        <v>35</v>
      </c>
      <c r="B510" s="19" t="s">
        <v>15</v>
      </c>
      <c r="R510" s="32"/>
    </row>
    <row r="511" spans="1:18" s="18" customFormat="1" ht="13.5" customHeight="1">
      <c r="A511" s="18" t="s">
        <v>254</v>
      </c>
      <c r="B511" s="19"/>
      <c r="C511" s="18">
        <v>0</v>
      </c>
      <c r="E511" s="18">
        <v>0</v>
      </c>
      <c r="G511" s="18">
        <v>14559</v>
      </c>
      <c r="I511" s="18">
        <v>0</v>
      </c>
      <c r="K511" s="18">
        <f t="shared" si="8"/>
        <v>14559</v>
      </c>
      <c r="M511" s="18">
        <v>0</v>
      </c>
      <c r="O511" s="18">
        <v>14559</v>
      </c>
      <c r="Q511" s="18">
        <v>0</v>
      </c>
      <c r="R511" s="32"/>
    </row>
    <row r="512" spans="1:18" s="18" customFormat="1" ht="13.5" customHeight="1">
      <c r="A512" s="18" t="s">
        <v>152</v>
      </c>
      <c r="B512" s="19" t="s">
        <v>15</v>
      </c>
      <c r="C512" s="21">
        <v>0</v>
      </c>
      <c r="E512" s="21">
        <v>0</v>
      </c>
      <c r="G512" s="21">
        <v>29714</v>
      </c>
      <c r="I512" s="21">
        <v>0</v>
      </c>
      <c r="K512" s="18">
        <f t="shared" si="8"/>
        <v>29714</v>
      </c>
      <c r="M512" s="21">
        <v>3583</v>
      </c>
      <c r="O512" s="21">
        <v>26131</v>
      </c>
      <c r="Q512" s="21">
        <v>0</v>
      </c>
      <c r="R512" s="32"/>
    </row>
    <row r="513" spans="1:18" s="21" customFormat="1" ht="13.5" customHeight="1">
      <c r="A513" s="21" t="s">
        <v>223</v>
      </c>
      <c r="B513" s="22"/>
      <c r="C513" s="21">
        <v>0</v>
      </c>
      <c r="E513" s="21">
        <v>0</v>
      </c>
      <c r="G513" s="21">
        <v>60413</v>
      </c>
      <c r="I513" s="21">
        <v>0</v>
      </c>
      <c r="K513" s="18">
        <f t="shared" si="8"/>
        <v>60413</v>
      </c>
      <c r="M513" s="21">
        <v>58936</v>
      </c>
      <c r="O513" s="21">
        <v>1477</v>
      </c>
      <c r="Q513" s="21">
        <v>0</v>
      </c>
      <c r="R513" s="33"/>
    </row>
    <row r="514" spans="1:18" s="21" customFormat="1" ht="13.5" customHeight="1">
      <c r="A514" s="21" t="s">
        <v>136</v>
      </c>
      <c r="B514" s="22"/>
      <c r="C514" s="21">
        <v>0</v>
      </c>
      <c r="E514" s="21">
        <v>0</v>
      </c>
      <c r="G514" s="21">
        <v>2243</v>
      </c>
      <c r="I514" s="21">
        <v>0</v>
      </c>
      <c r="K514" s="18">
        <f t="shared" si="8"/>
        <v>2243</v>
      </c>
      <c r="M514" s="21">
        <v>70</v>
      </c>
      <c r="O514" s="21">
        <v>2173</v>
      </c>
      <c r="Q514" s="21">
        <v>0</v>
      </c>
      <c r="R514" s="33"/>
    </row>
    <row r="515" spans="1:18" s="21" customFormat="1" ht="13.5" customHeight="1">
      <c r="A515" s="21" t="s">
        <v>140</v>
      </c>
      <c r="B515" s="22"/>
      <c r="C515" s="17">
        <v>0</v>
      </c>
      <c r="E515" s="17">
        <v>0</v>
      </c>
      <c r="G515" s="17">
        <v>20453</v>
      </c>
      <c r="I515" s="17">
        <v>0</v>
      </c>
      <c r="K515" s="17">
        <f t="shared" si="8"/>
        <v>20453</v>
      </c>
      <c r="M515" s="17">
        <v>16380</v>
      </c>
      <c r="O515" s="17">
        <v>4073</v>
      </c>
      <c r="Q515" s="17">
        <v>0</v>
      </c>
      <c r="R515" s="33"/>
    </row>
    <row r="516" spans="1:18" s="18" customFormat="1" ht="13.5" customHeight="1">
      <c r="A516" s="18" t="s">
        <v>200</v>
      </c>
      <c r="B516" s="19" t="s">
        <v>15</v>
      </c>
      <c r="C516" s="17">
        <f>SUM(C511:C515)</f>
        <v>0</v>
      </c>
      <c r="E516" s="17">
        <f>SUM(E511:E515)</f>
        <v>0</v>
      </c>
      <c r="G516" s="17">
        <f>SUM(G511:G515)</f>
        <v>127382</v>
      </c>
      <c r="I516" s="17">
        <f>SUM(I511:I515)</f>
        <v>0</v>
      </c>
      <c r="K516" s="20">
        <f t="shared" si="8"/>
        <v>127382</v>
      </c>
      <c r="M516" s="17">
        <f>SUM(M511:M515)</f>
        <v>78969</v>
      </c>
      <c r="O516" s="17">
        <f>SUM(O511:O515)</f>
        <v>48413</v>
      </c>
      <c r="Q516" s="17">
        <f>SUM(Q511:Q515)</f>
        <v>0</v>
      </c>
      <c r="R516" s="32"/>
    </row>
    <row r="517" spans="2:18" s="18" customFormat="1" ht="13.5" customHeight="1">
      <c r="B517" s="19" t="s">
        <v>15</v>
      </c>
      <c r="R517" s="32"/>
    </row>
    <row r="518" spans="1:18" s="18" customFormat="1" ht="13.5" customHeight="1">
      <c r="A518" s="18" t="s">
        <v>194</v>
      </c>
      <c r="B518" s="19" t="s">
        <v>15</v>
      </c>
      <c r="C518" s="17">
        <f>SUM(C516,C508,C505,C500,C495)</f>
        <v>0</v>
      </c>
      <c r="D518" s="21"/>
      <c r="E518" s="17">
        <f>SUM(E516,E508,E505,E500,E495)</f>
        <v>34606</v>
      </c>
      <c r="F518" s="21"/>
      <c r="G518" s="17">
        <f>SUM(G516,G508,G505,G500,G495)</f>
        <v>234528</v>
      </c>
      <c r="H518" s="21"/>
      <c r="I518" s="17">
        <f>SUM(I516,I508,I505,I500,I495)</f>
        <v>2405809</v>
      </c>
      <c r="K518" s="17">
        <f t="shared" si="8"/>
        <v>2674943</v>
      </c>
      <c r="M518" s="17">
        <f>SUM(M516,M508,M505,M500,M495)</f>
        <v>1758996</v>
      </c>
      <c r="N518" s="21"/>
      <c r="O518" s="17">
        <f>SUM(O516,O508,O505,O500,O495)</f>
        <v>913783</v>
      </c>
      <c r="P518" s="21"/>
      <c r="Q518" s="17">
        <f>SUM(Q516,Q508,Q505,Q500,Q495)</f>
        <v>2164</v>
      </c>
      <c r="R518" s="32"/>
    </row>
    <row r="519" spans="2:18" s="18" customFormat="1" ht="13.5" customHeight="1">
      <c r="B519" s="19" t="s">
        <v>15</v>
      </c>
      <c r="R519" s="32"/>
    </row>
    <row r="520" spans="1:18" s="18" customFormat="1" ht="13.5" customHeight="1">
      <c r="A520" s="18" t="s">
        <v>224</v>
      </c>
      <c r="B520" s="19" t="s">
        <v>15</v>
      </c>
      <c r="C520" s="18" t="s">
        <v>15</v>
      </c>
      <c r="E520" s="18" t="s">
        <v>15</v>
      </c>
      <c r="G520" s="18" t="s">
        <v>15</v>
      </c>
      <c r="I520" s="18" t="s">
        <v>15</v>
      </c>
      <c r="M520" s="18" t="s">
        <v>15</v>
      </c>
      <c r="O520" s="18" t="s">
        <v>15</v>
      </c>
      <c r="Q520" s="18" t="s">
        <v>15</v>
      </c>
      <c r="R520" s="32"/>
    </row>
    <row r="521" spans="1:18" s="18" customFormat="1" ht="13.5" customHeight="1">
      <c r="A521" s="18" t="s">
        <v>153</v>
      </c>
      <c r="B521" s="19" t="s">
        <v>15</v>
      </c>
      <c r="C521" s="21">
        <v>866740</v>
      </c>
      <c r="E521" s="21">
        <v>6891</v>
      </c>
      <c r="G521" s="21">
        <v>30347</v>
      </c>
      <c r="I521" s="21">
        <f>5824283+2</f>
        <v>5824285</v>
      </c>
      <c r="K521" s="17">
        <f t="shared" si="8"/>
        <v>6728263</v>
      </c>
      <c r="M521" s="21">
        <v>185480</v>
      </c>
      <c r="O521" s="21">
        <f>6542310+2+1</f>
        <v>6542313</v>
      </c>
      <c r="Q521" s="21">
        <f>471-1</f>
        <v>470</v>
      </c>
      <c r="R521" s="32"/>
    </row>
    <row r="522" spans="2:18" s="18" customFormat="1" ht="13.5" customHeight="1">
      <c r="B522" s="19"/>
      <c r="C522" s="36"/>
      <c r="E522" s="36"/>
      <c r="G522" s="36"/>
      <c r="I522" s="36"/>
      <c r="M522" s="36"/>
      <c r="O522" s="36"/>
      <c r="Q522" s="36"/>
      <c r="R522" s="32"/>
    </row>
    <row r="523" spans="1:18" s="18" customFormat="1" ht="13.5" customHeight="1">
      <c r="A523" s="18" t="s">
        <v>241</v>
      </c>
      <c r="B523" s="19"/>
      <c r="C523" s="17">
        <f>SUM(C521:C521)</f>
        <v>866740</v>
      </c>
      <c r="E523" s="17">
        <f>SUM(E521:E521)</f>
        <v>6891</v>
      </c>
      <c r="G523" s="17">
        <f>SUM(G521:G521)</f>
        <v>30347</v>
      </c>
      <c r="I523" s="17">
        <f>SUM(I521:I521)</f>
        <v>5824285</v>
      </c>
      <c r="K523" s="17">
        <f t="shared" si="8"/>
        <v>6728263</v>
      </c>
      <c r="M523" s="17">
        <f>SUM(M521:M521)</f>
        <v>185480</v>
      </c>
      <c r="O523" s="17">
        <f>SUM(O521:O521)</f>
        <v>6542313</v>
      </c>
      <c r="Q523" s="17">
        <f>SUM(Q521:Q521)</f>
        <v>470</v>
      </c>
      <c r="R523" s="32"/>
    </row>
    <row r="524" spans="2:18" s="18" customFormat="1" ht="13.5" customHeight="1">
      <c r="B524" s="19" t="s">
        <v>15</v>
      </c>
      <c r="Q524" s="24"/>
      <c r="R524" s="32"/>
    </row>
    <row r="525" spans="1:18" s="18" customFormat="1" ht="13.5" customHeight="1">
      <c r="A525" s="18" t="s">
        <v>154</v>
      </c>
      <c r="B525" s="19" t="s">
        <v>15</v>
      </c>
      <c r="C525" s="17">
        <v>2563224</v>
      </c>
      <c r="E525" s="17">
        <v>16139405</v>
      </c>
      <c r="G525" s="17">
        <v>5887584</v>
      </c>
      <c r="I525" s="17">
        <v>4646589</v>
      </c>
      <c r="K525" s="17">
        <f t="shared" si="8"/>
        <v>29236802</v>
      </c>
      <c r="M525" s="17">
        <v>0</v>
      </c>
      <c r="O525" s="17">
        <v>29172174</v>
      </c>
      <c r="Q525" s="17">
        <v>64628</v>
      </c>
      <c r="R525" s="32"/>
    </row>
    <row r="526" spans="2:18" s="18" customFormat="1" ht="13.5" customHeight="1">
      <c r="B526" s="19" t="s">
        <v>15</v>
      </c>
      <c r="R526" s="32"/>
    </row>
    <row r="527" spans="1:18" s="18" customFormat="1" ht="13.5" customHeight="1">
      <c r="A527" s="18" t="s">
        <v>312</v>
      </c>
      <c r="B527" s="19" t="s">
        <v>15</v>
      </c>
      <c r="C527" s="17">
        <f>C151+C287+C405+C451+C484+C518+C523+C525</f>
        <v>38808125</v>
      </c>
      <c r="E527" s="17">
        <f>E151+E287+E405+E451+E484+E518+E523+E525</f>
        <v>98990883</v>
      </c>
      <c r="G527" s="17">
        <f>G151+G287+G405+G451+G484+G518+G523+G525</f>
        <v>23162781</v>
      </c>
      <c r="I527" s="17">
        <f>I151+I287+I405+I451+I484+I518+I523+I525</f>
        <v>33435955</v>
      </c>
      <c r="K527" s="17">
        <f t="shared" si="8"/>
        <v>194397744</v>
      </c>
      <c r="M527" s="17">
        <f>M151+M287+M405+M451+M484+M518+M523+M525</f>
        <v>66524495</v>
      </c>
      <c r="O527" s="17">
        <f>O151+O287+O405+O451+O484+O518+O523+O525</f>
        <v>107979533</v>
      </c>
      <c r="Q527" s="17">
        <f>Q151+Q287+Q405+Q451+Q484+Q518+Q523+Q525</f>
        <v>19893716</v>
      </c>
      <c r="R527" s="32"/>
    </row>
    <row r="528" spans="2:18" s="18" customFormat="1" ht="13.5" customHeight="1">
      <c r="B528" s="19" t="s">
        <v>15</v>
      </c>
      <c r="R528" s="32"/>
    </row>
    <row r="529" spans="1:18" s="18" customFormat="1" ht="13.5" customHeight="1">
      <c r="A529" s="18" t="s">
        <v>260</v>
      </c>
      <c r="B529" s="19" t="s">
        <v>15</v>
      </c>
      <c r="R529" s="32"/>
    </row>
    <row r="530" spans="1:18" s="18" customFormat="1" ht="13.5" customHeight="1">
      <c r="A530" s="18" t="s">
        <v>261</v>
      </c>
      <c r="B530" s="19" t="s">
        <v>15</v>
      </c>
      <c r="C530" s="18" t="s">
        <v>15</v>
      </c>
      <c r="E530" s="18" t="s">
        <v>15</v>
      </c>
      <c r="G530" s="18" t="s">
        <v>15</v>
      </c>
      <c r="I530" s="18" t="s">
        <v>15</v>
      </c>
      <c r="M530" s="18" t="s">
        <v>15</v>
      </c>
      <c r="O530" s="18" t="s">
        <v>15</v>
      </c>
      <c r="Q530" s="18" t="s">
        <v>15</v>
      </c>
      <c r="R530" s="32"/>
    </row>
    <row r="531" spans="1:18" s="18" customFormat="1" ht="13.5" customHeight="1">
      <c r="A531" s="18" t="s">
        <v>225</v>
      </c>
      <c r="B531" s="19" t="s">
        <v>15</v>
      </c>
      <c r="C531" s="17">
        <v>0</v>
      </c>
      <c r="E531" s="17">
        <v>0</v>
      </c>
      <c r="G531" s="17">
        <v>0</v>
      </c>
      <c r="I531" s="17">
        <v>4436683</v>
      </c>
      <c r="K531" s="17">
        <f aca="true" t="shared" si="9" ref="K531:K551">IF(SUM(C531:I531)=SUM(M531:Q531),SUM(C531:I531),SUM(M531:Q531)-SUM(C531:I531))</f>
        <v>4436683</v>
      </c>
      <c r="M531" s="17">
        <v>0</v>
      </c>
      <c r="O531" s="17">
        <v>4436683</v>
      </c>
      <c r="Q531" s="17">
        <v>0</v>
      </c>
      <c r="R531" s="32"/>
    </row>
    <row r="532" spans="2:18" s="18" customFormat="1" ht="13.5" customHeight="1">
      <c r="B532" s="19" t="s">
        <v>15</v>
      </c>
      <c r="R532" s="32"/>
    </row>
    <row r="533" spans="1:18" s="18" customFormat="1" ht="13.5" customHeight="1">
      <c r="A533" s="18" t="s">
        <v>262</v>
      </c>
      <c r="B533" s="19" t="s">
        <v>15</v>
      </c>
      <c r="R533" s="32"/>
    </row>
    <row r="534" spans="1:18" s="18" customFormat="1" ht="13.5" customHeight="1">
      <c r="A534" s="18" t="s">
        <v>287</v>
      </c>
      <c r="B534" s="19" t="s">
        <v>15</v>
      </c>
      <c r="C534" s="21">
        <v>0</v>
      </c>
      <c r="E534" s="21">
        <v>0</v>
      </c>
      <c r="G534" s="21">
        <v>0</v>
      </c>
      <c r="I534" s="21">
        <v>2097003</v>
      </c>
      <c r="K534" s="18">
        <f t="shared" si="9"/>
        <v>2097003</v>
      </c>
      <c r="M534" s="21">
        <v>0</v>
      </c>
      <c r="O534" s="21">
        <v>2097003</v>
      </c>
      <c r="Q534" s="21">
        <v>0</v>
      </c>
      <c r="R534" s="32"/>
    </row>
    <row r="535" spans="1:18" s="18" customFormat="1" ht="13.5" customHeight="1">
      <c r="A535" s="18" t="s">
        <v>225</v>
      </c>
      <c r="B535" s="19"/>
      <c r="C535" s="17">
        <v>0</v>
      </c>
      <c r="E535" s="17">
        <v>0</v>
      </c>
      <c r="G535" s="17">
        <v>0</v>
      </c>
      <c r="I535" s="17">
        <v>119202</v>
      </c>
      <c r="K535" s="17">
        <f t="shared" si="9"/>
        <v>119202</v>
      </c>
      <c r="M535" s="17">
        <v>0</v>
      </c>
      <c r="O535" s="17">
        <v>119202</v>
      </c>
      <c r="Q535" s="17">
        <v>0</v>
      </c>
      <c r="R535" s="32"/>
    </row>
    <row r="536" spans="1:18" s="18" customFormat="1" ht="13.5" customHeight="1">
      <c r="A536" s="18" t="s">
        <v>263</v>
      </c>
      <c r="B536" s="19" t="s">
        <v>15</v>
      </c>
      <c r="C536" s="17">
        <f>SUM(C534:C535)</f>
        <v>0</v>
      </c>
      <c r="E536" s="17">
        <f>SUM(E534:E535)</f>
        <v>0</v>
      </c>
      <c r="G536" s="17">
        <f>SUM(G534:G535)</f>
        <v>0</v>
      </c>
      <c r="I536" s="17">
        <f>SUM(I534:I535)</f>
        <v>2216205</v>
      </c>
      <c r="K536" s="20">
        <f t="shared" si="9"/>
        <v>2216205</v>
      </c>
      <c r="M536" s="17">
        <f>SUM(M534:M535)</f>
        <v>0</v>
      </c>
      <c r="O536" s="17">
        <f>SUM(O534:O535)</f>
        <v>2216205</v>
      </c>
      <c r="Q536" s="17">
        <f>SUM(Q534:Q535)</f>
        <v>0</v>
      </c>
      <c r="R536" s="32"/>
    </row>
    <row r="537" spans="2:18" s="18" customFormat="1" ht="13.5" customHeight="1">
      <c r="B537" s="19"/>
      <c r="R537" s="32"/>
    </row>
    <row r="538" spans="1:18" s="18" customFormat="1" ht="13.5" customHeight="1">
      <c r="A538" s="18" t="s">
        <v>242</v>
      </c>
      <c r="B538" s="19" t="s">
        <v>15</v>
      </c>
      <c r="C538" s="17">
        <f>C531+C536</f>
        <v>0</v>
      </c>
      <c r="E538" s="17">
        <f>E531+E536</f>
        <v>0</v>
      </c>
      <c r="G538" s="17">
        <f>G531+G536</f>
        <v>0</v>
      </c>
      <c r="I538" s="17">
        <f>I531+I536</f>
        <v>6652888</v>
      </c>
      <c r="K538" s="17">
        <f t="shared" si="9"/>
        <v>6652888</v>
      </c>
      <c r="M538" s="17">
        <f>M531+M536</f>
        <v>0</v>
      </c>
      <c r="O538" s="17">
        <f>O531+O536</f>
        <v>6652888</v>
      </c>
      <c r="Q538" s="17">
        <f>Q531+Q536</f>
        <v>0</v>
      </c>
      <c r="R538" s="32"/>
    </row>
    <row r="539" spans="2:18" s="18" customFormat="1" ht="13.5" customHeight="1">
      <c r="B539" s="19" t="s">
        <v>15</v>
      </c>
      <c r="R539" s="32"/>
    </row>
    <row r="540" spans="1:18" s="18" customFormat="1" ht="13.5" customHeight="1">
      <c r="A540" s="18" t="s">
        <v>311</v>
      </c>
      <c r="B540" s="19" t="s">
        <v>15</v>
      </c>
      <c r="C540" s="17">
        <f>+C527+C538</f>
        <v>38808125</v>
      </c>
      <c r="E540" s="17">
        <f>+E527+E538</f>
        <v>98990883</v>
      </c>
      <c r="G540" s="17">
        <f>+G527+G538</f>
        <v>23162781</v>
      </c>
      <c r="I540" s="17">
        <f>+I527+I538</f>
        <v>40088843</v>
      </c>
      <c r="K540" s="17">
        <f t="shared" si="9"/>
        <v>201050632</v>
      </c>
      <c r="M540" s="17">
        <f>+M527+M538</f>
        <v>66524495</v>
      </c>
      <c r="O540" s="17">
        <f>+O527+O538</f>
        <v>114632421</v>
      </c>
      <c r="Q540" s="17">
        <f>+Q527+Q538</f>
        <v>19893716</v>
      </c>
      <c r="R540" s="32"/>
    </row>
    <row r="541" spans="2:18" s="18" customFormat="1" ht="13.5" customHeight="1">
      <c r="B541" s="19" t="s">
        <v>15</v>
      </c>
      <c r="R541" s="32"/>
    </row>
    <row r="542" spans="1:18" s="18" customFormat="1" ht="13.5" customHeight="1">
      <c r="A542" s="18" t="s">
        <v>36</v>
      </c>
      <c r="B542" s="19" t="s">
        <v>15</v>
      </c>
      <c r="C542" s="18" t="s">
        <v>15</v>
      </c>
      <c r="E542" s="18" t="s">
        <v>15</v>
      </c>
      <c r="G542" s="18" t="s">
        <v>15</v>
      </c>
      <c r="I542" s="18" t="s">
        <v>15</v>
      </c>
      <c r="M542" s="18" t="s">
        <v>15</v>
      </c>
      <c r="O542" s="18" t="s">
        <v>15</v>
      </c>
      <c r="Q542" s="18" t="s">
        <v>15</v>
      </c>
      <c r="R542" s="32"/>
    </row>
    <row r="543" spans="1:18" s="18" customFormat="1" ht="13.5" customHeight="1">
      <c r="A543" s="18" t="s">
        <v>264</v>
      </c>
      <c r="B543" s="19" t="s">
        <v>15</v>
      </c>
      <c r="C543" s="18">
        <v>0</v>
      </c>
      <c r="E543" s="18">
        <v>0</v>
      </c>
      <c r="G543" s="18">
        <v>0</v>
      </c>
      <c r="I543" s="18">
        <v>116827149</v>
      </c>
      <c r="K543" s="18">
        <f t="shared" si="9"/>
        <v>116827149</v>
      </c>
      <c r="M543" s="18">
        <f>37298752+7992443</f>
        <v>45291195</v>
      </c>
      <c r="O543" s="18">
        <f>79528397-7992443</f>
        <v>71535954</v>
      </c>
      <c r="Q543" s="18">
        <v>0</v>
      </c>
      <c r="R543" s="32"/>
    </row>
    <row r="544" spans="1:18" s="18" customFormat="1" ht="13.5" customHeight="1">
      <c r="A544" s="18" t="s">
        <v>274</v>
      </c>
      <c r="B544" s="19" t="s">
        <v>15</v>
      </c>
      <c r="C544" s="18">
        <v>0</v>
      </c>
      <c r="E544" s="18">
        <v>0</v>
      </c>
      <c r="G544" s="18">
        <v>0</v>
      </c>
      <c r="I544" s="18">
        <v>5207490</v>
      </c>
      <c r="K544" s="18">
        <f t="shared" si="9"/>
        <v>5207490</v>
      </c>
      <c r="M544" s="18">
        <v>0</v>
      </c>
      <c r="O544" s="18">
        <v>5207490</v>
      </c>
      <c r="Q544" s="18">
        <v>0</v>
      </c>
      <c r="R544" s="32"/>
    </row>
    <row r="545" spans="1:43" s="18" customFormat="1" ht="13.5" customHeight="1">
      <c r="A545" s="18" t="s">
        <v>265</v>
      </c>
      <c r="B545" s="19" t="s">
        <v>15</v>
      </c>
      <c r="C545" s="18" t="s">
        <v>15</v>
      </c>
      <c r="E545" s="18" t="s">
        <v>15</v>
      </c>
      <c r="G545" s="18" t="s">
        <v>15</v>
      </c>
      <c r="I545" s="18" t="s">
        <v>15</v>
      </c>
      <c r="O545" s="18" t="s">
        <v>15</v>
      </c>
      <c r="R545" s="32" t="s">
        <v>15</v>
      </c>
      <c r="S545" s="18" t="s">
        <v>15</v>
      </c>
      <c r="T545" s="18" t="s">
        <v>15</v>
      </c>
      <c r="U545" s="18" t="s">
        <v>15</v>
      </c>
      <c r="V545" s="18" t="s">
        <v>15</v>
      </c>
      <c r="W545" s="18" t="s">
        <v>15</v>
      </c>
      <c r="X545" s="18" t="s">
        <v>15</v>
      </c>
      <c r="Y545" s="18" t="s">
        <v>15</v>
      </c>
      <c r="Z545" s="18" t="s">
        <v>15</v>
      </c>
      <c r="AA545" s="18" t="s">
        <v>15</v>
      </c>
      <c r="AB545" s="18" t="s">
        <v>15</v>
      </c>
      <c r="AC545" s="18" t="s">
        <v>15</v>
      </c>
      <c r="AD545" s="18" t="s">
        <v>15</v>
      </c>
      <c r="AE545" s="18" t="s">
        <v>15</v>
      </c>
      <c r="AF545" s="18" t="s">
        <v>15</v>
      </c>
      <c r="AG545" s="18" t="s">
        <v>15</v>
      </c>
      <c r="AH545" s="18" t="s">
        <v>15</v>
      </c>
      <c r="AI545" s="18" t="s">
        <v>15</v>
      </c>
      <c r="AJ545" s="18" t="s">
        <v>15</v>
      </c>
      <c r="AK545" s="18" t="s">
        <v>15</v>
      </c>
      <c r="AL545" s="18" t="s">
        <v>15</v>
      </c>
      <c r="AM545" s="18" t="s">
        <v>15</v>
      </c>
      <c r="AN545" s="18" t="s">
        <v>15</v>
      </c>
      <c r="AO545" s="18" t="s">
        <v>15</v>
      </c>
      <c r="AP545" s="18" t="s">
        <v>15</v>
      </c>
      <c r="AQ545" s="18" t="s">
        <v>15</v>
      </c>
    </row>
    <row r="546" spans="1:18" s="18" customFormat="1" ht="13.5" customHeight="1">
      <c r="A546" s="18" t="s">
        <v>266</v>
      </c>
      <c r="B546" s="19" t="s">
        <v>15</v>
      </c>
      <c r="C546" s="18">
        <v>0</v>
      </c>
      <c r="E546" s="18">
        <v>0</v>
      </c>
      <c r="G546" s="18">
        <v>0</v>
      </c>
      <c r="I546" s="18">
        <v>226624</v>
      </c>
      <c r="K546" s="18">
        <f t="shared" si="9"/>
        <v>226624</v>
      </c>
      <c r="M546" s="18">
        <v>0</v>
      </c>
      <c r="O546" s="18">
        <v>226624</v>
      </c>
      <c r="Q546" s="18">
        <v>0</v>
      </c>
      <c r="R546" s="32"/>
    </row>
    <row r="547" spans="1:18" s="18" customFormat="1" ht="13.5" customHeight="1">
      <c r="A547" s="18" t="s">
        <v>267</v>
      </c>
      <c r="B547" s="19" t="s">
        <v>15</v>
      </c>
      <c r="C547" s="18">
        <v>0</v>
      </c>
      <c r="E547" s="18">
        <v>0</v>
      </c>
      <c r="G547" s="18">
        <v>0</v>
      </c>
      <c r="I547" s="18">
        <v>29926</v>
      </c>
      <c r="K547" s="18">
        <f t="shared" si="9"/>
        <v>29926</v>
      </c>
      <c r="M547" s="18">
        <v>0</v>
      </c>
      <c r="O547" s="18">
        <v>29926</v>
      </c>
      <c r="Q547" s="18">
        <v>0</v>
      </c>
      <c r="R547" s="32"/>
    </row>
    <row r="548" spans="1:18" s="18" customFormat="1" ht="13.5" customHeight="1">
      <c r="A548" s="18" t="s">
        <v>273</v>
      </c>
      <c r="B548" s="19" t="s">
        <v>15</v>
      </c>
      <c r="C548" s="17">
        <v>0</v>
      </c>
      <c r="E548" s="17">
        <v>0</v>
      </c>
      <c r="G548" s="17">
        <v>0</v>
      </c>
      <c r="I548" s="17">
        <v>1055098</v>
      </c>
      <c r="K548" s="17">
        <f t="shared" si="9"/>
        <v>1055098</v>
      </c>
      <c r="M548" s="17">
        <v>0</v>
      </c>
      <c r="O548" s="17">
        <v>1055098</v>
      </c>
      <c r="Q548" s="17">
        <v>0</v>
      </c>
      <c r="R548" s="32"/>
    </row>
    <row r="549" spans="1:18" s="18" customFormat="1" ht="13.5" customHeight="1">
      <c r="A549" s="18" t="s">
        <v>258</v>
      </c>
      <c r="B549" s="19" t="s">
        <v>15</v>
      </c>
      <c r="C549" s="17">
        <f>SUM(C543:C548)</f>
        <v>0</v>
      </c>
      <c r="E549" s="17">
        <f>SUM(E543:E548)</f>
        <v>0</v>
      </c>
      <c r="G549" s="17">
        <f>SUM(G543:G548)</f>
        <v>0</v>
      </c>
      <c r="I549" s="17">
        <f>SUM(I543:I548)</f>
        <v>123346287</v>
      </c>
      <c r="K549" s="20">
        <f t="shared" si="9"/>
        <v>123346287</v>
      </c>
      <c r="M549" s="17">
        <f>SUM(M543:M548)</f>
        <v>45291195</v>
      </c>
      <c r="O549" s="17">
        <f>SUM(O543:O548)</f>
        <v>78055092</v>
      </c>
      <c r="Q549" s="17">
        <f>SUM(Q543:Q548)</f>
        <v>0</v>
      </c>
      <c r="R549" s="32"/>
    </row>
    <row r="550" spans="2:18" s="18" customFormat="1" ht="13.5" customHeight="1">
      <c r="B550" s="19" t="s">
        <v>15</v>
      </c>
      <c r="R550" s="32"/>
    </row>
    <row r="551" spans="1:18" s="18" customFormat="1" ht="13.5" customHeight="1" thickBot="1">
      <c r="A551" s="18" t="s">
        <v>259</v>
      </c>
      <c r="B551" s="19" t="s">
        <v>15</v>
      </c>
      <c r="C551" s="26">
        <f>+C540+C549</f>
        <v>38808125</v>
      </c>
      <c r="E551" s="26">
        <f>+E540+E549</f>
        <v>98990883</v>
      </c>
      <c r="G551" s="26">
        <f>+G540+G549</f>
        <v>23162781</v>
      </c>
      <c r="I551" s="26">
        <f>+I540+I549</f>
        <v>163435130</v>
      </c>
      <c r="K551" s="29">
        <f t="shared" si="9"/>
        <v>324396919</v>
      </c>
      <c r="M551" s="26">
        <f>+M540+M549</f>
        <v>111815690</v>
      </c>
      <c r="O551" s="26">
        <f>+O540+O549</f>
        <v>192687513</v>
      </c>
      <c r="Q551" s="26">
        <f>+Q540+Q549</f>
        <v>19893716</v>
      </c>
      <c r="R551" s="32"/>
    </row>
    <row r="552" s="18" customFormat="1" ht="12.75" thickTop="1">
      <c r="R552" s="32"/>
    </row>
    <row r="553" spans="1:256" ht="1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34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  <c r="FI553" s="16"/>
      <c r="FJ553" s="16"/>
      <c r="FK553" s="16"/>
      <c r="FL553" s="16"/>
      <c r="FM553" s="16"/>
      <c r="FN553" s="16"/>
      <c r="FO553" s="16"/>
      <c r="FP553" s="16"/>
      <c r="FQ553" s="16"/>
      <c r="FR553" s="16"/>
      <c r="FS553" s="16"/>
      <c r="FT553" s="16"/>
      <c r="FU553" s="16"/>
      <c r="FV553" s="16"/>
      <c r="FW553" s="16"/>
      <c r="FX553" s="16"/>
      <c r="FY553" s="16"/>
      <c r="FZ553" s="16"/>
      <c r="GA553" s="16"/>
      <c r="GB553" s="16"/>
      <c r="GC553" s="16"/>
      <c r="GD553" s="16"/>
      <c r="GE553" s="16"/>
      <c r="GF553" s="16"/>
      <c r="GG553" s="16"/>
      <c r="GH553" s="16"/>
      <c r="GI553" s="16"/>
      <c r="GJ553" s="16"/>
      <c r="GK553" s="16"/>
      <c r="GL553" s="16"/>
      <c r="GM553" s="16"/>
      <c r="GN553" s="16"/>
      <c r="GO553" s="16"/>
      <c r="GP553" s="16"/>
      <c r="GQ553" s="16"/>
      <c r="GR553" s="16"/>
      <c r="GS553" s="16"/>
      <c r="GT553" s="16"/>
      <c r="GU553" s="16"/>
      <c r="GV553" s="16"/>
      <c r="GW553" s="16"/>
      <c r="GX553" s="16"/>
      <c r="GY553" s="16"/>
      <c r="GZ553" s="16"/>
      <c r="HA553" s="16"/>
      <c r="HB553" s="16"/>
      <c r="HC553" s="16"/>
      <c r="HD553" s="16"/>
      <c r="HE553" s="16"/>
      <c r="HF553" s="16"/>
      <c r="HG553" s="16"/>
      <c r="HH553" s="16"/>
      <c r="HI553" s="16"/>
      <c r="HJ553" s="16"/>
      <c r="HK553" s="16"/>
      <c r="HL553" s="16"/>
      <c r="HM553" s="16"/>
      <c r="HN553" s="16"/>
      <c r="HO553" s="16"/>
      <c r="HP553" s="16"/>
      <c r="HQ553" s="16"/>
      <c r="HR553" s="16"/>
      <c r="HS553" s="16"/>
      <c r="HT553" s="16"/>
      <c r="HU553" s="16"/>
      <c r="HV553" s="16"/>
      <c r="HW553" s="16"/>
      <c r="HX553" s="16"/>
      <c r="HY553" s="16"/>
      <c r="HZ553" s="16"/>
      <c r="IA553" s="16"/>
      <c r="IB553" s="16"/>
      <c r="IC553" s="16"/>
      <c r="ID553" s="16"/>
      <c r="IE553" s="16"/>
      <c r="IF553" s="16"/>
      <c r="IG553" s="16"/>
      <c r="IH553" s="16"/>
      <c r="II553" s="16"/>
      <c r="IJ553" s="16"/>
      <c r="IK553" s="16"/>
      <c r="IL553" s="16"/>
      <c r="IM553" s="16"/>
      <c r="IN553" s="16"/>
      <c r="IO553" s="16"/>
      <c r="IP553" s="16"/>
      <c r="IQ553" s="16"/>
      <c r="IR553" s="16"/>
      <c r="IS553" s="16"/>
      <c r="IT553" s="16"/>
      <c r="IU553" s="16"/>
      <c r="IV553" s="16"/>
    </row>
  </sheetData>
  <sheetProtection/>
  <mergeCells count="3">
    <mergeCell ref="A3:Q3"/>
    <mergeCell ref="A5:Q5"/>
    <mergeCell ref="A6:Q6"/>
  </mergeCells>
  <conditionalFormatting sqref="K1:K65536 L151:O151">
    <cfRule type="cellIs" priority="1" dxfId="1" operator="equal" stopIfTrue="1">
      <formula>-1</formula>
    </cfRule>
    <cfRule type="cellIs" priority="3" dxfId="1" operator="equal">
      <formula>1</formula>
    </cfRule>
  </conditionalFormatting>
  <conditionalFormatting sqref="K303:K551 A15:J551 L15:Q551 K15:K301 J151:O151">
    <cfRule type="expression" priority="4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85" r:id="rId3"/>
  <rowBreaks count="4" manualBreakCount="4">
    <brk id="195" max="16" man="1"/>
    <brk id="376" max="16" man="1"/>
    <brk id="467" max="16" man="1"/>
    <brk id="509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2007-08-20T15:56:53Z</cp:lastPrinted>
  <dcterms:modified xsi:type="dcterms:W3CDTF">2007-08-21T16:15:42Z</dcterms:modified>
  <cp:category/>
  <cp:version/>
  <cp:contentType/>
  <cp:contentStatus/>
</cp:coreProperties>
</file>