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15" windowHeight="38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br'!$A$435</definedName>
    <definedName name="DASH">'c2b br'!#REF!</definedName>
    <definedName name="H_1">'c2b br'!$A$3:$Q$15</definedName>
    <definedName name="INSTIT_SUPP">'c2b br'!$A$526</definedName>
    <definedName name="P_1">'c2b br'!$A$16:$Q$597</definedName>
    <definedName name="_xlnm.Print_Area" localSheetId="0">'c2b br'!$A$1:$S$598</definedName>
    <definedName name="_xlnm.Print_Titles" localSheetId="0">'c2b br'!$1:$15</definedName>
    <definedName name="Print_Titles_MI">'c2b br'!$3:$15</definedName>
    <definedName name="PUBLIC_SERV">'c2b br'!$A$313</definedName>
    <definedName name="RESEARCH">'c2b br'!$A$161</definedName>
    <definedName name="STUD_SERV">'c2b br'!$A$492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Z160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<sst xmlns="http://schemas.openxmlformats.org/spreadsheetml/2006/main" count="1000" uniqueCount="327">
  <si>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</si>
  <si>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</si>
  <si>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</si>
  <si>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</si>
  <si>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</si>
  <si>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</si>
  <si>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</si>
  <si>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</si>
  <si>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</si>
  <si>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</si>
  <si>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</si>
  <si>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</si>
  <si>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</si>
  <si>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</si>
  <si>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</si>
  <si>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</si>
  <si>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</si>
  <si>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</si>
  <si>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</si>
  <si>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</si>
  <si>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</si>
  <si>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</si>
  <si>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</si>
  <si>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</si>
  <si>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</si>
  <si>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</si>
  <si>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</si>
  <si>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</si>
  <si>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</si>
  <si>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</si>
  <si>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</si>
  <si>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Interdisciplinary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</si>
  <si>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</si>
  <si>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</si>
  <si>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</si>
  <si>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</si>
  <si>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</si>
  <si>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</si>
  <si>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</si>
  <si>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</si>
  <si>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</si>
  <si>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</si>
  <si>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</si>
  <si>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</si>
  <si>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</si>
  <si>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</si>
  <si>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</si>
  <si>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</si>
  <si>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</si>
  <si>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</si>
  <si>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</si>
  <si>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</si>
  <si>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</si>
  <si>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</si>
  <si>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</si>
  <si>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</si>
  <si>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</si>
  <si>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</si>
  <si>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</si>
  <si>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</si>
  <si>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</si>
  <si>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</si>
  <si>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</si>
  <si>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</si>
  <si>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</si>
  <si>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</si>
  <si>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</si>
  <si>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</si>
  <si>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</si>
  <si>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</si>
  <si>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</si>
  <si>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</si>
  <si>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</si>
  <si>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</si>
  <si>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</si>
  <si>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</si>
  <si>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</si>
  <si>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</si>
  <si>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</si>
  <si>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</si>
  <si>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</si>
  <si>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</si>
  <si>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</si>
  <si>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</si>
  <si>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</si>
  <si>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</si>
  <si>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</si>
  <si>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</si>
  <si>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</si>
  <si>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</si>
  <si>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</si>
  <si>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</si>
  <si>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</si>
  <si>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Thesis binding </t>
  </si>
  <si>
    <t xml:space="preserve">   Art</t>
  </si>
  <si>
    <t xml:space="preserve">   Rural life </t>
  </si>
  <si>
    <t xml:space="preserve">   Academic services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</si>
  <si>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</si>
  <si>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</si>
  <si>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</si>
  <si>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</si>
  <si>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</si>
  <si>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</si>
  <si>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</si>
  <si>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Veterinary medicine</t>
  </si>
  <si>
    <t xml:space="preserve">  Enrollment services 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</si>
  <si>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</si>
  <si>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</si>
  <si>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</si>
  <si>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</si>
  <si>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</si>
  <si>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</si>
  <si>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</si>
  <si>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</si>
  <si>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</si>
  <si>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</si>
  <si>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</si>
  <si>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</si>
  <si>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 Pathobiological sciences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</si>
  <si>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</si>
  <si>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</si>
  <si>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</si>
  <si>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</si>
  <si>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</si>
  <si>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</si>
  <si>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</si>
  <si>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Interdisciplinary </t>
  </si>
  <si>
    <t xml:space="preserve">   Oceanography and coastal sciences </t>
  </si>
  <si>
    <t xml:space="preserve">   Special programs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</si>
  <si>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</si>
  <si>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</si>
  <si>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</si>
  <si>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</si>
  <si>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</si>
  <si>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</si>
  <si>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</si>
  <si>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</si>
  <si>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</si>
  <si>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</si>
  <si>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</si>
  <si>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</si>
  <si>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</si>
  <si>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</si>
  <si>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</si>
  <si>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</si>
  <si>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</si>
  <si>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</si>
  <si>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</si>
  <si>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Center for advanced microstructures and devices (CAMD)</t>
  </si>
  <si>
    <t xml:space="preserve">      Total NCSRT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</si>
  <si>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</si>
  <si>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</si>
  <si>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</si>
  <si>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</si>
  <si>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</si>
  <si>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</si>
  <si>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</si>
  <si>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</si>
  <si>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</si>
  <si>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</si>
  <si>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</si>
  <si>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</si>
  <si>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</si>
  <si>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</si>
  <si>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</si>
  <si>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</si>
  <si>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</si>
  <si>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</si>
  <si>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</si>
  <si>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</si>
  <si>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</si>
  <si>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</si>
  <si>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</si>
  <si>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 Theatre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</si>
  <si>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</si>
  <si>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</si>
  <si>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</si>
  <si>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</si>
  <si>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</si>
  <si>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</si>
  <si>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</si>
  <si>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</si>
  <si>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</si>
  <si>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</si>
  <si>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</si>
  <si>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Management</t>
  </si>
  <si>
    <t xml:space="preserve">     Depreciation expense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</si>
  <si>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</si>
  <si>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</si>
  <si>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</si>
  <si>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</si>
  <si>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</si>
  <si>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</si>
  <si>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Chancellor for finance and administrative services </t>
  </si>
  <si>
    <t xml:space="preserve">    Capital improvements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</si>
  <si>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</si>
  <si>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</si>
  <si>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</si>
  <si>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</si>
  <si>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</si>
  <si>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</si>
  <si>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</si>
  <si>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</si>
  <si>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</si>
  <si>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Vice Chancellor for research and graduate school dean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</si>
  <si>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</si>
  <si>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</si>
  <si>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</si>
  <si>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</si>
  <si>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 xml:space="preserve">  Institute for partnerships in education</t>
  </si>
  <si>
    <t>Indirect Cost</t>
  </si>
  <si>
    <t>ANALYSIS C-2B</t>
  </si>
  <si>
    <t>Current Restricted Fund Expenditures</t>
  </si>
  <si>
    <t xml:space="preserve">  Office of assessment and evaluation</t>
  </si>
  <si>
    <t xml:space="preserve">   Veterinary teaching hospital</t>
  </si>
  <si>
    <t xml:space="preserve">   Plant pathology</t>
  </si>
  <si>
    <t xml:space="preserve">   Public administration</t>
  </si>
  <si>
    <t xml:space="preserve">   Environmental sciences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</si>
  <si>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</si>
  <si>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</si>
  <si>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</si>
  <si>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</si>
  <si>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</si>
  <si>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Academic affairs</t>
  </si>
  <si>
    <t xml:space="preserve">   English language orientation program</t>
  </si>
  <si>
    <t xml:space="preserve">   Student technology fee projects</t>
  </si>
  <si>
    <t xml:space="preserve">   Social work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</si>
  <si>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</si>
  <si>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</si>
  <si>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</si>
  <si>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 xml:space="preserve">  Disaster relief</t>
  </si>
  <si>
    <t xml:space="preserve">  Center for community engagement, learning, and leadership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</si>
  <si>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</si>
  <si>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</si>
  <si>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</si>
  <si>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</si>
  <si>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</si>
  <si>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</si>
  <si>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 Equine health and disease research</t>
  </si>
  <si>
    <t xml:space="preserve">  Center for energy studies</t>
  </si>
  <si>
    <t xml:space="preserve">   Personal enrichment</t>
  </si>
  <si>
    <t xml:space="preserve">   Instruction</t>
  </si>
  <si>
    <t xml:space="preserve">    Mathematics</t>
  </si>
  <si>
    <t xml:space="preserve">   Arts and design</t>
  </si>
  <si>
    <t xml:space="preserve">   Humanities and social sciences</t>
  </si>
  <si>
    <t xml:space="preserve">   Science</t>
  </si>
  <si>
    <t xml:space="preserve">   Executive vice chancellor and provost</t>
  </si>
  <si>
    <t xml:space="preserve">   Vice Chancellor for corporate initiatives and public service</t>
  </si>
  <si>
    <t xml:space="preserve">      Total mandatory transfers</t>
  </si>
  <si>
    <t xml:space="preserve">  Business-</t>
  </si>
  <si>
    <t xml:space="preserve">   Stephenson entrepreneurship institute</t>
  </si>
  <si>
    <t xml:space="preserve">      Total business </t>
  </si>
  <si>
    <t xml:space="preserve">   Business </t>
  </si>
  <si>
    <t xml:space="preserve">  Comprehensive public training program</t>
  </si>
  <si>
    <t xml:space="preserve">  International programs</t>
  </si>
  <si>
    <t xml:space="preserve">   Information services</t>
  </si>
  <si>
    <t xml:space="preserve">   Communications</t>
  </si>
  <si>
    <t xml:space="preserve">   Miscellaneous</t>
  </si>
  <si>
    <t xml:space="preserve">  Campus police</t>
  </si>
  <si>
    <t xml:space="preserve">  Environmental health and safety</t>
  </si>
  <si>
    <t xml:space="preserve">      Principal and interest</t>
  </si>
  <si>
    <t xml:space="preserve">   Mandatory transfers -</t>
  </si>
  <si>
    <t xml:space="preserve">   Nonmandatory transfers -</t>
  </si>
  <si>
    <t xml:space="preserve">     Total SNCSRT</t>
  </si>
  <si>
    <t xml:space="preserve">   Executive director's office</t>
  </si>
  <si>
    <t xml:space="preserve">  Stephenson national center for security research and training-</t>
  </si>
  <si>
    <t xml:space="preserve">      Total SNCSRT</t>
  </si>
  <si>
    <t xml:space="preserve">  Stephenson National Center for Security Research and Training-</t>
  </si>
  <si>
    <t xml:space="preserve">   Construction management</t>
  </si>
  <si>
    <t xml:space="preserve">   Mechanical and industrial</t>
  </si>
  <si>
    <t xml:space="preserve">  Human sciences and education-</t>
  </si>
  <si>
    <t xml:space="preserve">   Library and information science</t>
  </si>
  <si>
    <t xml:space="preserve">      Total human sciences and education </t>
  </si>
  <si>
    <t xml:space="preserve">   Biological and agricultural </t>
  </si>
  <si>
    <t xml:space="preserve">   Miscellaneous projects</t>
  </si>
  <si>
    <t xml:space="preserve">    Biological sciences</t>
  </si>
  <si>
    <t xml:space="preserve">    Interdisciplinary</t>
  </si>
  <si>
    <t xml:space="preserve">  LSU press</t>
  </si>
  <si>
    <t xml:space="preserve">   Human sciences and education</t>
  </si>
  <si>
    <t xml:space="preserve">   LSU press </t>
  </si>
  <si>
    <t xml:space="preserve">  Campus life</t>
  </si>
  <si>
    <t xml:space="preserve">   Biological and agricultural</t>
  </si>
  <si>
    <t xml:space="preserve"> General administrative services-</t>
  </si>
  <si>
    <t xml:space="preserve">   Public administrative institute</t>
  </si>
  <si>
    <t xml:space="preserve">   Independent and distance learning</t>
  </si>
  <si>
    <t xml:space="preserve">  Louisiana business and technology center</t>
  </si>
  <si>
    <t xml:space="preserve">  Materials science and engineering</t>
  </si>
  <si>
    <t xml:space="preserve">   University lab school</t>
  </si>
  <si>
    <t xml:space="preserve">    Geology and geophysics</t>
  </si>
  <si>
    <t xml:space="preserve">  Shared instrument facility</t>
  </si>
  <si>
    <t xml:space="preserve">  Risk management</t>
  </si>
  <si>
    <t xml:space="preserve">   Nutrition and food science</t>
  </si>
  <si>
    <t xml:space="preserve">   Textiles, apparel design, and merchandising</t>
  </si>
  <si>
    <t xml:space="preserve">   Textile, apparel design, and merchandising</t>
  </si>
  <si>
    <t xml:space="preserve">   Linguistics</t>
  </si>
  <si>
    <t xml:space="preserve">   Environmental initiatives</t>
  </si>
  <si>
    <t xml:space="preserve">   Hurricane center</t>
  </si>
  <si>
    <t xml:space="preserve">   Transformational technology and cyber security research center (TTCRC)</t>
  </si>
  <si>
    <t xml:space="preserve">  T. Harry Williams Center for oral history</t>
  </si>
  <si>
    <t xml:space="preserve">  Agriculture- </t>
  </si>
  <si>
    <t xml:space="preserve">      Total agricultural</t>
  </si>
  <si>
    <t xml:space="preserve">   Administration</t>
  </si>
  <si>
    <t xml:space="preserve">  Research and economic development</t>
  </si>
  <si>
    <t xml:space="preserve">  Equity, diversity, and community outreach</t>
  </si>
  <si>
    <t xml:space="preserve">  Louisiana digital library (LOUIS)</t>
  </si>
  <si>
    <t xml:space="preserve">   National center for biomed research training</t>
  </si>
  <si>
    <t xml:space="preserve">   Continuing education</t>
  </si>
  <si>
    <t xml:space="preserve">   Vice Chancellor for communications and university relations</t>
  </si>
  <si>
    <t xml:space="preserve">   Business</t>
  </si>
  <si>
    <t xml:space="preserve">   Agricultural and extension education and evaluation</t>
  </si>
  <si>
    <t xml:space="preserve">   Executive MBA program</t>
  </si>
  <si>
    <t xml:space="preserve">  Communication across the curriculum</t>
  </si>
  <si>
    <t xml:space="preserve">   Communication sciences and disorders</t>
  </si>
  <si>
    <t xml:space="preserve">   Lab school library</t>
  </si>
  <si>
    <t xml:space="preserve">  Louisiana geological survey</t>
  </si>
  <si>
    <t xml:space="preserve">  LSU global</t>
  </si>
  <si>
    <t xml:space="preserve">  Life course and aging center</t>
  </si>
  <si>
    <t xml:space="preserve">  University laboratory school</t>
  </si>
  <si>
    <t xml:space="preserve">  Office of technology transfer</t>
  </si>
  <si>
    <t xml:space="preserve">    Museum of natural science</t>
  </si>
  <si>
    <t xml:space="preserve">  Women's center</t>
  </si>
  <si>
    <t xml:space="preserve">   International programs</t>
  </si>
  <si>
    <t xml:space="preserve">  Equal employment opportunity</t>
  </si>
  <si>
    <t xml:space="preserve">  General counsel</t>
  </si>
  <si>
    <t xml:space="preserve">   Staff senate</t>
  </si>
  <si>
    <t xml:space="preserve">   Alumni relations and development</t>
  </si>
  <si>
    <t>For the year ended June 30,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</si>
</sst>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0" xfId="42" applyNumberFormat="1" applyFont="1" applyBorder="1" applyAlignment="1" applyProtection="1">
      <alignment horizontal="centerContinuous"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2" fontId="7" fillId="0" borderId="14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37" fontId="0" fillId="0" borderId="0" xfId="55" applyBorder="1">
      <alignment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3" fillId="0" borderId="0" xfId="42" applyNumberFormat="1" applyFont="1" applyBorder="1" applyAlignment="1">
      <alignment vertical="center"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 quotePrefix="1">
      <alignment vertical="center"/>
      <protection/>
    </xf>
    <xf numFmtId="49" fontId="3" fillId="0" borderId="19" xfId="42" applyNumberFormat="1" applyFont="1" applyFill="1" applyBorder="1" applyAlignment="1" applyProtection="1">
      <alignment vertical="center"/>
      <protection/>
    </xf>
    <xf numFmtId="165" fontId="3" fillId="0" borderId="19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Border="1" applyAlignment="1" applyProtection="1">
      <alignment horizontal="centerContinuous" vertical="center"/>
      <protection/>
    </xf>
    <xf numFmtId="167" fontId="7" fillId="0" borderId="0" xfId="42" applyNumberFormat="1" applyFont="1" applyFill="1" applyAlignment="1" applyProtection="1">
      <alignment vertical="center"/>
      <protection/>
    </xf>
    <xf numFmtId="37" fontId="42" fillId="0" borderId="0" xfId="55" applyFont="1" applyFill="1" applyBorder="1" applyAlignment="1">
      <alignment horizontal="center" vertical="center"/>
      <protection/>
    </xf>
    <xf numFmtId="165" fontId="3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5"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5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1571625</xdr:colOff>
      <xdr:row>6</xdr:row>
      <xdr:rowOff>38100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571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08"/>
  <sheetViews>
    <sheetView showGridLines="0" tabSelected="1" defaultGridColor="0" zoomScale="120" zoomScaleNormal="120" zoomScaleSheetLayoutView="75" colorId="22" workbookViewId="0" topLeftCell="A442">
      <selection activeCell="M129" sqref="M129"/>
    </sheetView>
  </sheetViews>
  <sheetFormatPr defaultColWidth="9.140625" defaultRowHeight="12"/>
  <cols>
    <col min="1" max="1" width="56.57421875" style="1" customWidth="1"/>
    <col min="2" max="2" width="1.57421875" style="1" customWidth="1"/>
    <col min="3" max="3" width="13.57421875" style="1" customWidth="1"/>
    <col min="4" max="4" width="1.57421875" style="36" customWidth="1"/>
    <col min="5" max="5" width="14.7109375" style="1" bestFit="1" customWidth="1"/>
    <col min="6" max="6" width="1.57421875" style="36" customWidth="1"/>
    <col min="7" max="7" width="13.57421875" style="1" bestFit="1" customWidth="1"/>
    <col min="8" max="8" width="1.57421875" style="36" customWidth="1"/>
    <col min="9" max="9" width="14.7109375" style="1" bestFit="1" customWidth="1"/>
    <col min="10" max="10" width="1.57421875" style="1" customWidth="1"/>
    <col min="11" max="11" width="14.7109375" style="1" bestFit="1" customWidth="1"/>
    <col min="12" max="12" width="1.57421875" style="1" customWidth="1"/>
    <col min="13" max="13" width="14.7109375" style="1" bestFit="1" customWidth="1"/>
    <col min="14" max="14" width="1.57421875" style="1" customWidth="1"/>
    <col min="15" max="15" width="14.7109375" style="1" bestFit="1" customWidth="1"/>
    <col min="16" max="16" width="1.57421875" style="1" customWidth="1"/>
    <col min="17" max="17" width="14.28125" style="1" customWidth="1"/>
    <col min="18" max="18" width="7.57421875" style="5" customWidth="1"/>
    <col min="19" max="16384" width="9.00390625" style="1" customWidth="1"/>
  </cols>
  <sheetData>
    <row r="1" spans="1:256" s="3" customFormat="1" ht="12">
      <c r="A1" s="2"/>
      <c r="B1" s="10"/>
      <c r="C1" s="10"/>
      <c r="D1" s="35"/>
      <c r="E1" s="10"/>
      <c r="F1" s="35"/>
      <c r="G1" s="10"/>
      <c r="H1" s="3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0.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9" customFormat="1" ht="16.5">
      <c r="A3" s="48"/>
      <c r="B3" s="12"/>
      <c r="C3" s="47" t="s">
        <v>211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9" customFormat="1" ht="8.25" customHeight="1">
      <c r="A4" s="48"/>
      <c r="B4" s="12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9" customFormat="1" ht="16.5">
      <c r="A5" s="48"/>
      <c r="B5" s="13"/>
      <c r="C5" s="47" t="s">
        <v>212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9" customFormat="1" ht="16.5">
      <c r="A6" s="48"/>
      <c r="B6" s="12"/>
      <c r="C6" s="47" t="s">
        <v>326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5" s="9" customFormat="1" ht="10.5" customHeight="1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6" s="3" customFormat="1" ht="12">
      <c r="A8" s="2"/>
      <c r="B8" s="1"/>
      <c r="C8" s="1"/>
      <c r="D8" s="36"/>
      <c r="E8" s="1"/>
      <c r="F8" s="36"/>
      <c r="G8" s="1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7"/>
      <c r="B9" s="17"/>
      <c r="C9" s="17"/>
      <c r="D9" s="37"/>
      <c r="E9" s="17"/>
      <c r="F9" s="37"/>
      <c r="G9" s="17"/>
      <c r="H9" s="3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18"/>
      <c r="B11" s="18"/>
      <c r="C11" s="18"/>
      <c r="D11" s="30"/>
      <c r="E11" s="18"/>
      <c r="F11" s="30"/>
      <c r="G11" s="18"/>
      <c r="H11" s="30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" customHeight="1">
      <c r="A12" s="18"/>
      <c r="B12" s="18"/>
      <c r="C12" s="31" t="s">
        <v>0</v>
      </c>
      <c r="D12" s="45"/>
      <c r="E12" s="31"/>
      <c r="F12" s="45"/>
      <c r="G12" s="31"/>
      <c r="H12" s="45"/>
      <c r="I12" s="31"/>
      <c r="J12" s="18"/>
      <c r="K12" s="18"/>
      <c r="L12" s="18"/>
      <c r="M12" s="31" t="s">
        <v>1</v>
      </c>
      <c r="N12" s="31"/>
      <c r="O12" s="31"/>
      <c r="P12" s="31"/>
      <c r="Q12" s="31"/>
    </row>
    <row r="13" spans="1:17" ht="12" customHeight="1">
      <c r="A13" s="18"/>
      <c r="B13" s="18"/>
      <c r="C13" s="18"/>
      <c r="D13" s="30"/>
      <c r="E13" s="18"/>
      <c r="F13" s="30"/>
      <c r="G13" s="18"/>
      <c r="H13" s="30"/>
      <c r="I13" s="18"/>
      <c r="J13" s="18"/>
      <c r="K13" s="18"/>
      <c r="L13" s="18"/>
      <c r="M13" s="28" t="s">
        <v>2</v>
      </c>
      <c r="N13" s="18"/>
      <c r="O13" s="18"/>
      <c r="P13" s="18"/>
      <c r="Q13" s="28" t="s">
        <v>210</v>
      </c>
    </row>
    <row r="14" spans="1:17" ht="12" customHeight="1">
      <c r="A14" s="18"/>
      <c r="B14" s="18"/>
      <c r="C14" s="29" t="s">
        <v>3</v>
      </c>
      <c r="D14" s="30"/>
      <c r="E14" s="29" t="s">
        <v>4</v>
      </c>
      <c r="F14" s="30"/>
      <c r="G14" s="29" t="s">
        <v>5</v>
      </c>
      <c r="H14" s="30"/>
      <c r="I14" s="29" t="s">
        <v>6</v>
      </c>
      <c r="J14" s="30"/>
      <c r="K14" s="29" t="s">
        <v>7</v>
      </c>
      <c r="L14" s="30"/>
      <c r="M14" s="29" t="s">
        <v>8</v>
      </c>
      <c r="N14" s="30"/>
      <c r="O14" s="29" t="s">
        <v>9</v>
      </c>
      <c r="P14" s="30"/>
      <c r="Q14" s="29" t="s">
        <v>10</v>
      </c>
    </row>
    <row r="15" spans="1:17" ht="12" customHeight="1">
      <c r="A15" s="18"/>
      <c r="B15" s="18"/>
      <c r="C15" s="18"/>
      <c r="D15" s="30"/>
      <c r="E15" s="18"/>
      <c r="F15" s="30"/>
      <c r="G15" s="18"/>
      <c r="H15" s="30"/>
      <c r="I15" s="18"/>
      <c r="J15" s="18"/>
      <c r="K15" s="18"/>
      <c r="L15" s="18"/>
      <c r="M15" s="18"/>
      <c r="N15" s="18"/>
      <c r="O15" s="18"/>
      <c r="P15" s="18"/>
      <c r="Q15" s="18"/>
    </row>
    <row r="16" spans="1:18" s="3" customFormat="1" ht="13.5" customHeight="1">
      <c r="A16" s="19" t="s">
        <v>158</v>
      </c>
      <c r="B16" s="19"/>
      <c r="C16" s="19"/>
      <c r="D16" s="23"/>
      <c r="E16" s="19"/>
      <c r="F16" s="23"/>
      <c r="G16" s="19"/>
      <c r="H16" s="23"/>
      <c r="I16" s="19"/>
      <c r="J16" s="19"/>
      <c r="K16" s="19"/>
      <c r="L16" s="19"/>
      <c r="M16" s="19"/>
      <c r="N16" s="19"/>
      <c r="O16" s="19"/>
      <c r="P16" s="19"/>
      <c r="Q16" s="19"/>
      <c r="R16" s="6"/>
    </row>
    <row r="17" spans="1:18" s="3" customFormat="1" ht="13.5" customHeight="1">
      <c r="A17" s="19"/>
      <c r="B17" s="19"/>
      <c r="C17" s="19"/>
      <c r="D17" s="23"/>
      <c r="E17" s="19"/>
      <c r="F17" s="23"/>
      <c r="G17" s="19"/>
      <c r="H17" s="23"/>
      <c r="I17" s="19"/>
      <c r="J17" s="19"/>
      <c r="K17" s="19"/>
      <c r="L17" s="19"/>
      <c r="M17" s="19"/>
      <c r="N17" s="19"/>
      <c r="O17" s="19"/>
      <c r="P17" s="19"/>
      <c r="Q17" s="19"/>
      <c r="R17" s="6"/>
    </row>
    <row r="18" spans="1:18" s="3" customFormat="1" ht="13.5" customHeight="1">
      <c r="A18" s="19" t="s">
        <v>11</v>
      </c>
      <c r="B18" s="19"/>
      <c r="C18" s="19"/>
      <c r="D18" s="23"/>
      <c r="E18" s="19"/>
      <c r="F18" s="23"/>
      <c r="G18" s="19"/>
      <c r="H18" s="23"/>
      <c r="I18" s="19"/>
      <c r="J18" s="19"/>
      <c r="K18" s="23"/>
      <c r="L18" s="19"/>
      <c r="M18" s="19"/>
      <c r="N18" s="19"/>
      <c r="O18" s="19"/>
      <c r="P18" s="19"/>
      <c r="Q18" s="19"/>
      <c r="R18" s="6"/>
    </row>
    <row r="19" spans="1:18" s="3" customFormat="1" ht="13.5" customHeight="1">
      <c r="A19" s="19"/>
      <c r="B19" s="20" t="s">
        <v>13</v>
      </c>
      <c r="C19" s="19"/>
      <c r="D19" s="23"/>
      <c r="E19" s="19"/>
      <c r="F19" s="23"/>
      <c r="G19" s="19"/>
      <c r="H19" s="23"/>
      <c r="I19" s="19"/>
      <c r="J19" s="19"/>
      <c r="K19" s="23"/>
      <c r="L19" s="19"/>
      <c r="M19" s="19"/>
      <c r="N19" s="19"/>
      <c r="O19" s="19"/>
      <c r="P19" s="19"/>
      <c r="Q19" s="19"/>
      <c r="R19" s="6"/>
    </row>
    <row r="20" spans="1:18" s="3" customFormat="1" ht="13.5" customHeight="1">
      <c r="A20" s="19" t="s">
        <v>12</v>
      </c>
      <c r="B20" s="20" t="s">
        <v>13</v>
      </c>
      <c r="C20" s="19"/>
      <c r="D20" s="23"/>
      <c r="E20" s="19"/>
      <c r="F20" s="23"/>
      <c r="G20" s="19"/>
      <c r="H20" s="23"/>
      <c r="I20" s="19"/>
      <c r="J20" s="19"/>
      <c r="K20" s="19"/>
      <c r="L20" s="19"/>
      <c r="M20" s="19"/>
      <c r="N20" s="19"/>
      <c r="O20" s="19"/>
      <c r="P20" s="19"/>
      <c r="Q20" s="19"/>
      <c r="R20" s="6"/>
    </row>
    <row r="21" spans="1:18" s="3" customFormat="1" ht="13.5" customHeight="1">
      <c r="A21" s="19" t="s">
        <v>187</v>
      </c>
      <c r="B21" s="20"/>
      <c r="C21" s="46">
        <v>148</v>
      </c>
      <c r="D21" s="23"/>
      <c r="E21" s="46">
        <v>0</v>
      </c>
      <c r="F21" s="23"/>
      <c r="G21" s="46">
        <v>73184</v>
      </c>
      <c r="H21" s="23"/>
      <c r="I21" s="46">
        <v>0</v>
      </c>
      <c r="J21" s="19"/>
      <c r="K21" s="46">
        <f>IF(SUM(C21:I21)=SUM(M21:Q21),SUM(C21:I21),SUM(M21:Q21)-SUM(C21:I21))</f>
        <v>73332</v>
      </c>
      <c r="L21" s="19"/>
      <c r="M21" s="46">
        <v>60032</v>
      </c>
      <c r="N21" s="19"/>
      <c r="O21" s="46">
        <v>3061</v>
      </c>
      <c r="P21" s="19"/>
      <c r="Q21" s="46">
        <v>10239</v>
      </c>
      <c r="R21" s="6"/>
    </row>
    <row r="22" spans="1:18" s="3" customFormat="1" ht="13.5" customHeight="1">
      <c r="A22" s="19" t="s">
        <v>309</v>
      </c>
      <c r="B22" s="20"/>
      <c r="C22" s="19">
        <v>0</v>
      </c>
      <c r="D22" s="23"/>
      <c r="E22" s="19">
        <v>0</v>
      </c>
      <c r="F22" s="23"/>
      <c r="G22" s="19">
        <v>16714</v>
      </c>
      <c r="H22" s="23"/>
      <c r="I22" s="19">
        <v>0</v>
      </c>
      <c r="J22" s="19"/>
      <c r="K22" s="19">
        <f>IF(SUM(C22:I22)=SUM(M22:Q22),SUM(C22:I22),SUM(M22:Q22)-SUM(C22:I22))</f>
        <v>16714</v>
      </c>
      <c r="L22" s="19"/>
      <c r="M22" s="19">
        <v>16004</v>
      </c>
      <c r="N22" s="19"/>
      <c r="O22" s="19">
        <v>710</v>
      </c>
      <c r="P22" s="19"/>
      <c r="Q22" s="19">
        <v>0</v>
      </c>
      <c r="R22" s="6"/>
    </row>
    <row r="23" spans="1:18" s="3" customFormat="1" ht="13.5" customHeight="1">
      <c r="A23" s="19" t="s">
        <v>68</v>
      </c>
      <c r="B23" s="20"/>
      <c r="C23" s="19">
        <v>0</v>
      </c>
      <c r="D23" s="23"/>
      <c r="E23" s="19">
        <v>0</v>
      </c>
      <c r="F23" s="23"/>
      <c r="G23" s="19">
        <v>10225</v>
      </c>
      <c r="H23" s="23"/>
      <c r="I23" s="19">
        <v>0</v>
      </c>
      <c r="J23" s="19"/>
      <c r="K23" s="19">
        <f>IF(SUM(C23:I23)=SUM(M23:Q23),SUM(C23:I23),SUM(M23:Q23)-SUM(C23:I23))</f>
        <v>10225</v>
      </c>
      <c r="L23" s="19"/>
      <c r="M23" s="19">
        <v>7347</v>
      </c>
      <c r="N23" s="19"/>
      <c r="O23" s="19">
        <f>1+2877</f>
        <v>2878</v>
      </c>
      <c r="P23" s="19"/>
      <c r="Q23" s="19">
        <v>0</v>
      </c>
      <c r="R23" s="6"/>
    </row>
    <row r="24" spans="1:18" s="3" customFormat="1" ht="13.5" customHeight="1">
      <c r="A24" s="19" t="s">
        <v>69</v>
      </c>
      <c r="B24" s="20"/>
      <c r="C24" s="19">
        <v>0</v>
      </c>
      <c r="D24" s="23"/>
      <c r="E24" s="19">
        <v>0</v>
      </c>
      <c r="F24" s="23"/>
      <c r="G24" s="19">
        <v>36486</v>
      </c>
      <c r="H24" s="23"/>
      <c r="I24" s="19">
        <v>7350</v>
      </c>
      <c r="J24" s="19"/>
      <c r="K24" s="19">
        <f>IF(SUM(C24:I24)=SUM(M24:Q24),SUM(C24:I24),SUM(M24:Q24)-SUM(C24:I24))</f>
        <v>43836</v>
      </c>
      <c r="L24" s="19"/>
      <c r="M24" s="19">
        <v>29515</v>
      </c>
      <c r="N24" s="19"/>
      <c r="O24" s="19">
        <v>9722</v>
      </c>
      <c r="P24" s="19"/>
      <c r="Q24" s="19">
        <v>4599</v>
      </c>
      <c r="R24" s="6"/>
    </row>
    <row r="25" spans="1:18" s="3" customFormat="1" ht="13.5" customHeight="1">
      <c r="A25" s="19" t="s">
        <v>31</v>
      </c>
      <c r="B25" s="20" t="s">
        <v>13</v>
      </c>
      <c r="C25" s="19">
        <v>0</v>
      </c>
      <c r="D25" s="23"/>
      <c r="E25" s="19">
        <v>29048</v>
      </c>
      <c r="F25" s="23"/>
      <c r="G25" s="19">
        <v>12610</v>
      </c>
      <c r="H25" s="23"/>
      <c r="I25" s="19">
        <v>2698</v>
      </c>
      <c r="J25" s="19"/>
      <c r="K25" s="19">
        <f aca="true" t="shared" si="0" ref="K25:K66">IF(SUM(C25:I25)=SUM(M25:Q25),SUM(C25:I25),SUM(M25:Q25)-SUM(C25:I25))</f>
        <v>44356</v>
      </c>
      <c r="L25" s="19"/>
      <c r="M25" s="19">
        <v>39298</v>
      </c>
      <c r="N25" s="19"/>
      <c r="O25" s="19">
        <v>3241</v>
      </c>
      <c r="P25" s="19"/>
      <c r="Q25" s="19">
        <f>2+1815</f>
        <v>1817</v>
      </c>
      <c r="R25" s="6"/>
    </row>
    <row r="26" spans="1:18" s="3" customFormat="1" ht="13.5" customHeight="1">
      <c r="A26" s="19" t="s">
        <v>291</v>
      </c>
      <c r="B26" s="20"/>
      <c r="C26" s="19">
        <v>0</v>
      </c>
      <c r="D26" s="23"/>
      <c r="E26" s="19">
        <v>0</v>
      </c>
      <c r="F26" s="23"/>
      <c r="G26" s="19">
        <v>89834</v>
      </c>
      <c r="H26" s="23"/>
      <c r="I26" s="19">
        <v>0</v>
      </c>
      <c r="J26" s="19"/>
      <c r="K26" s="19">
        <f t="shared" si="0"/>
        <v>89834</v>
      </c>
      <c r="L26" s="19"/>
      <c r="M26" s="19">
        <v>58989</v>
      </c>
      <c r="N26" s="19"/>
      <c r="O26" s="19">
        <v>16290</v>
      </c>
      <c r="P26" s="19"/>
      <c r="Q26" s="19">
        <v>14555</v>
      </c>
      <c r="R26" s="6"/>
    </row>
    <row r="27" spans="1:18" s="3" customFormat="1" ht="13.5" customHeight="1">
      <c r="A27" s="19" t="s">
        <v>144</v>
      </c>
      <c r="B27" s="20"/>
      <c r="C27" s="23">
        <v>0</v>
      </c>
      <c r="D27" s="23"/>
      <c r="E27" s="19">
        <v>0</v>
      </c>
      <c r="F27" s="23"/>
      <c r="G27" s="19">
        <v>50329</v>
      </c>
      <c r="H27" s="23"/>
      <c r="I27" s="19">
        <v>7321</v>
      </c>
      <c r="J27" s="19"/>
      <c r="K27" s="23">
        <f t="shared" si="0"/>
        <v>57650</v>
      </c>
      <c r="L27" s="23"/>
      <c r="M27" s="23">
        <v>32845</v>
      </c>
      <c r="N27" s="23"/>
      <c r="O27" s="23">
        <v>16566</v>
      </c>
      <c r="P27" s="23"/>
      <c r="Q27" s="23">
        <f>1+8238</f>
        <v>8239</v>
      </c>
      <c r="R27" s="6"/>
    </row>
    <row r="28" spans="1:18" s="3" customFormat="1" ht="13.5" customHeight="1">
      <c r="A28" s="19" t="s">
        <v>292</v>
      </c>
      <c r="B28" s="20"/>
      <c r="C28" s="24">
        <v>50187</v>
      </c>
      <c r="D28" s="23"/>
      <c r="E28" s="19">
        <v>0</v>
      </c>
      <c r="F28" s="23"/>
      <c r="G28" s="19">
        <v>6200</v>
      </c>
      <c r="H28" s="23"/>
      <c r="I28" s="19">
        <v>0</v>
      </c>
      <c r="J28" s="19"/>
      <c r="K28" s="23">
        <f t="shared" si="0"/>
        <v>56387</v>
      </c>
      <c r="L28" s="19"/>
      <c r="M28" s="21">
        <v>36863</v>
      </c>
      <c r="N28" s="19"/>
      <c r="O28" s="21">
        <v>10350</v>
      </c>
      <c r="P28" s="19"/>
      <c r="Q28" s="21">
        <v>9174</v>
      </c>
      <c r="R28" s="6"/>
    </row>
    <row r="29" spans="1:18" s="3" customFormat="1" ht="13.5" customHeight="1">
      <c r="A29" s="19" t="s">
        <v>120</v>
      </c>
      <c r="B29" s="20" t="s">
        <v>13</v>
      </c>
      <c r="C29" s="21">
        <f>SUM(C21:C28)</f>
        <v>50335</v>
      </c>
      <c r="D29" s="23"/>
      <c r="E29" s="40">
        <f>SUM(E21:E28)</f>
        <v>29048</v>
      </c>
      <c r="F29" s="23"/>
      <c r="G29" s="39">
        <f>SUM(G21:G28)</f>
        <v>295582</v>
      </c>
      <c r="H29" s="23"/>
      <c r="I29" s="34">
        <f>SUM(I21:I28)</f>
        <v>17369</v>
      </c>
      <c r="J29" s="19"/>
      <c r="K29" s="22">
        <f t="shared" si="0"/>
        <v>392334</v>
      </c>
      <c r="L29" s="19"/>
      <c r="M29" s="21">
        <f>SUM(M21:M28)</f>
        <v>280893</v>
      </c>
      <c r="N29" s="19"/>
      <c r="O29" s="21">
        <f>SUM(O21:O28)</f>
        <v>62818</v>
      </c>
      <c r="P29" s="19"/>
      <c r="Q29" s="21">
        <f>SUM(Q21:Q28)</f>
        <v>48623</v>
      </c>
      <c r="R29" s="6"/>
    </row>
    <row r="30" spans="1:18" s="3" customFormat="1" ht="13.5" customHeight="1">
      <c r="A30" s="19"/>
      <c r="B30" s="20"/>
      <c r="C30" s="23"/>
      <c r="D30" s="23"/>
      <c r="E30" s="23"/>
      <c r="F30" s="23"/>
      <c r="G30" s="39"/>
      <c r="H30" s="23"/>
      <c r="I30" s="23"/>
      <c r="J30" s="19"/>
      <c r="K30" s="19"/>
      <c r="L30" s="19"/>
      <c r="M30" s="23"/>
      <c r="N30" s="19"/>
      <c r="O30" s="23"/>
      <c r="P30" s="19"/>
      <c r="Q30" s="23"/>
      <c r="R30" s="6"/>
    </row>
    <row r="31" spans="1:18" s="3" customFormat="1" ht="13.5" customHeight="1">
      <c r="A31" s="19" t="s">
        <v>159</v>
      </c>
      <c r="B31" s="20" t="s">
        <v>13</v>
      </c>
      <c r="C31" s="19" t="s">
        <v>13</v>
      </c>
      <c r="D31" s="23"/>
      <c r="E31" s="19" t="s">
        <v>13</v>
      </c>
      <c r="F31" s="23"/>
      <c r="G31" s="19" t="s">
        <v>13</v>
      </c>
      <c r="H31" s="23"/>
      <c r="I31" s="19" t="s">
        <v>13</v>
      </c>
      <c r="J31" s="19"/>
      <c r="K31" s="19"/>
      <c r="L31" s="19"/>
      <c r="M31" s="19" t="s">
        <v>13</v>
      </c>
      <c r="N31" s="19"/>
      <c r="O31" s="19" t="s">
        <v>13</v>
      </c>
      <c r="P31" s="19"/>
      <c r="Q31" s="19" t="s">
        <v>13</v>
      </c>
      <c r="R31" s="6"/>
    </row>
    <row r="32" spans="1:18" s="3" customFormat="1" ht="13.5" customHeight="1">
      <c r="A32" s="19" t="s">
        <v>79</v>
      </c>
      <c r="B32" s="20"/>
      <c r="C32" s="19">
        <v>0</v>
      </c>
      <c r="D32" s="23"/>
      <c r="E32" s="19">
        <v>0</v>
      </c>
      <c r="F32" s="23"/>
      <c r="G32" s="19">
        <v>10896</v>
      </c>
      <c r="H32" s="23"/>
      <c r="I32" s="19">
        <v>45125</v>
      </c>
      <c r="J32" s="19"/>
      <c r="K32" s="19">
        <f t="shared" si="0"/>
        <v>56021</v>
      </c>
      <c r="L32" s="19"/>
      <c r="M32" s="19">
        <v>11180</v>
      </c>
      <c r="N32" s="19"/>
      <c r="O32" s="19">
        <v>44841</v>
      </c>
      <c r="P32" s="19"/>
      <c r="Q32" s="19">
        <v>0</v>
      </c>
      <c r="R32" s="6"/>
    </row>
    <row r="33" spans="1:18" s="3" customFormat="1" ht="13.5" customHeight="1">
      <c r="A33" s="19" t="s">
        <v>51</v>
      </c>
      <c r="B33" s="20" t="s">
        <v>13</v>
      </c>
      <c r="C33" s="19">
        <v>0</v>
      </c>
      <c r="D33" s="23"/>
      <c r="E33" s="19">
        <v>0</v>
      </c>
      <c r="F33" s="23"/>
      <c r="G33" s="19">
        <v>43814</v>
      </c>
      <c r="H33" s="23"/>
      <c r="I33" s="19">
        <v>20000</v>
      </c>
      <c r="J33" s="19"/>
      <c r="K33" s="19">
        <f t="shared" si="0"/>
        <v>63814</v>
      </c>
      <c r="L33" s="19"/>
      <c r="M33" s="19">
        <v>0</v>
      </c>
      <c r="N33" s="19"/>
      <c r="O33" s="19">
        <v>63814</v>
      </c>
      <c r="P33" s="19"/>
      <c r="Q33" s="19">
        <v>0</v>
      </c>
      <c r="R33" s="6"/>
    </row>
    <row r="34" spans="1:18" s="3" customFormat="1" ht="13.5" customHeight="1">
      <c r="A34" s="19" t="s">
        <v>52</v>
      </c>
      <c r="B34" s="20" t="s">
        <v>13</v>
      </c>
      <c r="C34" s="19">
        <v>0</v>
      </c>
      <c r="D34" s="23"/>
      <c r="E34" s="19">
        <v>0</v>
      </c>
      <c r="F34" s="23"/>
      <c r="G34" s="19">
        <v>36219</v>
      </c>
      <c r="H34" s="23"/>
      <c r="I34" s="19">
        <v>15</v>
      </c>
      <c r="J34" s="19"/>
      <c r="K34" s="19">
        <f t="shared" si="0"/>
        <v>36234</v>
      </c>
      <c r="L34" s="19"/>
      <c r="M34" s="19">
        <v>29111</v>
      </c>
      <c r="N34" s="19"/>
      <c r="O34" s="19">
        <v>7123</v>
      </c>
      <c r="P34" s="19"/>
      <c r="Q34" s="19">
        <v>0</v>
      </c>
      <c r="R34" s="6"/>
    </row>
    <row r="35" spans="1:18" s="3" customFormat="1" ht="13.5" customHeight="1">
      <c r="A35" s="19" t="s">
        <v>31</v>
      </c>
      <c r="B35" s="20" t="s">
        <v>13</v>
      </c>
      <c r="C35" s="19">
        <v>0</v>
      </c>
      <c r="D35" s="23"/>
      <c r="E35" s="19">
        <v>28135</v>
      </c>
      <c r="F35" s="23"/>
      <c r="G35" s="19">
        <v>0</v>
      </c>
      <c r="H35" s="23"/>
      <c r="I35" s="19">
        <v>0</v>
      </c>
      <c r="J35" s="19"/>
      <c r="K35" s="19">
        <f t="shared" si="0"/>
        <v>28135</v>
      </c>
      <c r="L35" s="19"/>
      <c r="M35" s="19">
        <v>26377</v>
      </c>
      <c r="N35" s="19"/>
      <c r="O35" s="19">
        <v>0</v>
      </c>
      <c r="P35" s="19"/>
      <c r="Q35" s="19">
        <v>1758</v>
      </c>
      <c r="R35" s="6"/>
    </row>
    <row r="36" spans="1:18" s="3" customFormat="1" ht="13.5" customHeight="1">
      <c r="A36" s="19" t="s">
        <v>53</v>
      </c>
      <c r="B36" s="20" t="s">
        <v>13</v>
      </c>
      <c r="C36" s="21">
        <v>0</v>
      </c>
      <c r="D36" s="23"/>
      <c r="E36" s="19">
        <v>0</v>
      </c>
      <c r="F36" s="23"/>
      <c r="G36" s="19">
        <v>90322</v>
      </c>
      <c r="H36" s="23"/>
      <c r="I36" s="19">
        <v>93346</v>
      </c>
      <c r="J36" s="19"/>
      <c r="K36" s="21">
        <f t="shared" si="0"/>
        <v>183668</v>
      </c>
      <c r="L36" s="19"/>
      <c r="M36" s="19">
        <v>33310</v>
      </c>
      <c r="N36" s="19"/>
      <c r="O36" s="19">
        <f>1+150357</f>
        <v>150358</v>
      </c>
      <c r="P36" s="19"/>
      <c r="Q36" s="19">
        <v>0</v>
      </c>
      <c r="R36" s="6"/>
    </row>
    <row r="37" spans="1:18" s="3" customFormat="1" ht="13.5" customHeight="1">
      <c r="A37" s="19" t="s">
        <v>176</v>
      </c>
      <c r="B37" s="20" t="s">
        <v>13</v>
      </c>
      <c r="C37" s="21">
        <f>SUM(C32:C36)</f>
        <v>0</v>
      </c>
      <c r="D37" s="23"/>
      <c r="E37" s="34">
        <f>SUM(E32:E36)</f>
        <v>28135</v>
      </c>
      <c r="F37" s="23"/>
      <c r="G37" s="34">
        <f>SUM(G32:G36)</f>
        <v>181251</v>
      </c>
      <c r="H37" s="23"/>
      <c r="I37" s="34">
        <f>SUM(I32:I36)</f>
        <v>158486</v>
      </c>
      <c r="J37" s="19"/>
      <c r="K37" s="22">
        <f>SUM(K32:K36)</f>
        <v>367872</v>
      </c>
      <c r="L37" s="19"/>
      <c r="M37" s="34">
        <f>SUM(M32:M36)</f>
        <v>99978</v>
      </c>
      <c r="N37" s="19"/>
      <c r="O37" s="34">
        <f>SUM(O32:O36)</f>
        <v>266136</v>
      </c>
      <c r="P37" s="19"/>
      <c r="Q37" s="34">
        <f>SUM(Q32:Q36)</f>
        <v>1758</v>
      </c>
      <c r="R37" s="6"/>
    </row>
    <row r="38" spans="1:18" s="3" customFormat="1" ht="13.5" customHeight="1">
      <c r="A38" s="19"/>
      <c r="B38" s="20" t="s">
        <v>13</v>
      </c>
      <c r="C38" s="19"/>
      <c r="D38" s="23"/>
      <c r="E38" s="19"/>
      <c r="F38" s="23"/>
      <c r="G38" s="19"/>
      <c r="H38" s="23"/>
      <c r="I38" s="19"/>
      <c r="J38" s="19"/>
      <c r="K38" s="19"/>
      <c r="L38" s="19"/>
      <c r="M38" s="19"/>
      <c r="N38" s="19"/>
      <c r="O38" s="19"/>
      <c r="P38" s="19"/>
      <c r="Q38" s="19"/>
      <c r="R38" s="6"/>
    </row>
    <row r="39" spans="1:18" s="3" customFormat="1" ht="13.5" customHeight="1">
      <c r="A39" s="19" t="s">
        <v>249</v>
      </c>
      <c r="B39" s="20" t="s">
        <v>13</v>
      </c>
      <c r="C39" s="19"/>
      <c r="D39" s="23"/>
      <c r="E39" s="19"/>
      <c r="F39" s="23"/>
      <c r="G39" s="19"/>
      <c r="H39" s="23"/>
      <c r="I39" s="19"/>
      <c r="J39" s="19"/>
      <c r="K39" s="19"/>
      <c r="L39" s="19"/>
      <c r="M39" s="19"/>
      <c r="N39" s="19"/>
      <c r="O39" s="19"/>
      <c r="P39" s="19"/>
      <c r="Q39" s="19"/>
      <c r="R39" s="6"/>
    </row>
    <row r="40" spans="1:18" s="3" customFormat="1" ht="13.5" customHeight="1">
      <c r="A40" s="19" t="s">
        <v>45</v>
      </c>
      <c r="B40" s="20" t="s">
        <v>13</v>
      </c>
      <c r="C40" s="19">
        <v>213000</v>
      </c>
      <c r="D40" s="23"/>
      <c r="E40" s="19">
        <v>0</v>
      </c>
      <c r="F40" s="23"/>
      <c r="G40" s="19">
        <v>129046</v>
      </c>
      <c r="H40" s="23"/>
      <c r="I40" s="19">
        <v>90411</v>
      </c>
      <c r="J40" s="19"/>
      <c r="K40" s="19">
        <f>IF(SUM(C40:I40)=SUM(M40:Q40),SUM(C40:I40),SUM(M40:Q40)-SUM(C40:I40))</f>
        <v>432457</v>
      </c>
      <c r="L40" s="19"/>
      <c r="M40" s="19">
        <v>389592</v>
      </c>
      <c r="N40" s="19"/>
      <c r="O40" s="19">
        <v>42865</v>
      </c>
      <c r="P40" s="19"/>
      <c r="Q40" s="19">
        <v>0</v>
      </c>
      <c r="R40" s="6"/>
    </row>
    <row r="41" spans="1:18" s="3" customFormat="1" ht="13.5" customHeight="1">
      <c r="A41" s="19" t="s">
        <v>46</v>
      </c>
      <c r="B41" s="20" t="s">
        <v>13</v>
      </c>
      <c r="C41" s="19">
        <v>0</v>
      </c>
      <c r="D41" s="23"/>
      <c r="E41" s="19">
        <v>0</v>
      </c>
      <c r="F41" s="23"/>
      <c r="G41" s="19">
        <v>197134</v>
      </c>
      <c r="H41" s="23"/>
      <c r="I41" s="19">
        <v>35290</v>
      </c>
      <c r="J41" s="19"/>
      <c r="K41" s="19">
        <f t="shared" si="0"/>
        <v>232424</v>
      </c>
      <c r="L41" s="19"/>
      <c r="M41" s="19">
        <v>180638</v>
      </c>
      <c r="N41" s="19"/>
      <c r="O41" s="19">
        <v>41633</v>
      </c>
      <c r="P41" s="19"/>
      <c r="Q41" s="19">
        <v>10153</v>
      </c>
      <c r="R41" s="6"/>
    </row>
    <row r="42" spans="1:18" s="3" customFormat="1" ht="13.5" customHeight="1">
      <c r="A42" s="19" t="s">
        <v>310</v>
      </c>
      <c r="B42" s="20"/>
      <c r="C42" s="19">
        <v>0</v>
      </c>
      <c r="D42" s="23"/>
      <c r="E42" s="19">
        <v>0</v>
      </c>
      <c r="F42" s="23"/>
      <c r="G42" s="19">
        <v>0</v>
      </c>
      <c r="H42" s="23"/>
      <c r="I42" s="19">
        <v>87131</v>
      </c>
      <c r="J42" s="19"/>
      <c r="K42" s="19">
        <f t="shared" si="0"/>
        <v>87131</v>
      </c>
      <c r="L42" s="19"/>
      <c r="M42" s="19">
        <v>0</v>
      </c>
      <c r="N42" s="19"/>
      <c r="O42" s="19">
        <v>87131</v>
      </c>
      <c r="P42" s="19"/>
      <c r="Q42" s="19">
        <v>0</v>
      </c>
      <c r="R42" s="6"/>
    </row>
    <row r="43" spans="1:18" s="3" customFormat="1" ht="13.5" customHeight="1">
      <c r="A43" s="19" t="s">
        <v>47</v>
      </c>
      <c r="B43" s="20" t="s">
        <v>13</v>
      </c>
      <c r="C43" s="19">
        <v>0</v>
      </c>
      <c r="D43" s="23"/>
      <c r="E43" s="19">
        <v>0</v>
      </c>
      <c r="F43" s="23"/>
      <c r="G43" s="19">
        <v>214610</v>
      </c>
      <c r="H43" s="23"/>
      <c r="I43" s="19">
        <v>145806</v>
      </c>
      <c r="J43" s="19"/>
      <c r="K43" s="19">
        <f t="shared" si="0"/>
        <v>360416</v>
      </c>
      <c r="L43" s="19"/>
      <c r="M43" s="19">
        <v>339539</v>
      </c>
      <c r="N43" s="19"/>
      <c r="O43" s="19">
        <f>1+20876</f>
        <v>20877</v>
      </c>
      <c r="P43" s="19"/>
      <c r="Q43" s="19">
        <v>0</v>
      </c>
      <c r="R43" s="6"/>
    </row>
    <row r="44" spans="1:18" s="3" customFormat="1" ht="13.5" customHeight="1">
      <c r="A44" s="19" t="s">
        <v>147</v>
      </c>
      <c r="B44" s="20" t="s">
        <v>13</v>
      </c>
      <c r="C44" s="19">
        <v>198800</v>
      </c>
      <c r="D44" s="23"/>
      <c r="E44" s="19">
        <v>0</v>
      </c>
      <c r="F44" s="23"/>
      <c r="G44" s="19">
        <v>81274</v>
      </c>
      <c r="H44" s="23"/>
      <c r="I44" s="19">
        <v>41914</v>
      </c>
      <c r="J44" s="19"/>
      <c r="K44" s="19">
        <f t="shared" si="0"/>
        <v>321988</v>
      </c>
      <c r="L44" s="19"/>
      <c r="M44" s="19">
        <v>297554</v>
      </c>
      <c r="N44" s="19"/>
      <c r="O44" s="19">
        <f>-1+24435</f>
        <v>24434</v>
      </c>
      <c r="P44" s="19"/>
      <c r="Q44" s="19">
        <v>0</v>
      </c>
      <c r="R44" s="6"/>
    </row>
    <row r="45" spans="1:18" s="3" customFormat="1" ht="13.5" customHeight="1">
      <c r="A45" s="19" t="s">
        <v>31</v>
      </c>
      <c r="B45" s="20" t="s">
        <v>13</v>
      </c>
      <c r="C45" s="19">
        <v>0</v>
      </c>
      <c r="D45" s="23"/>
      <c r="E45" s="19">
        <v>32039</v>
      </c>
      <c r="F45" s="23"/>
      <c r="G45" s="19">
        <v>188800</v>
      </c>
      <c r="H45" s="23"/>
      <c r="I45" s="19">
        <v>93330</v>
      </c>
      <c r="J45" s="19"/>
      <c r="K45" s="19">
        <f>IF(SUM(C45:I45)=SUM(M45:Q45),SUM(C45:I45),SUM(M45:Q45)-SUM(C45:I45))</f>
        <v>314169</v>
      </c>
      <c r="L45" s="19"/>
      <c r="M45" s="19">
        <v>135324</v>
      </c>
      <c r="N45" s="19"/>
      <c r="O45" s="19">
        <v>176843</v>
      </c>
      <c r="P45" s="19"/>
      <c r="Q45" s="19">
        <v>2002</v>
      </c>
      <c r="R45" s="6"/>
    </row>
    <row r="46" spans="1:18" s="3" customFormat="1" ht="13.5" customHeight="1">
      <c r="A46" s="19" t="s">
        <v>48</v>
      </c>
      <c r="B46" s="20" t="s">
        <v>13</v>
      </c>
      <c r="C46" s="19">
        <v>0</v>
      </c>
      <c r="D46" s="23"/>
      <c r="E46" s="19">
        <v>0</v>
      </c>
      <c r="F46" s="23"/>
      <c r="G46" s="19">
        <v>22932</v>
      </c>
      <c r="H46" s="23"/>
      <c r="I46" s="19">
        <v>59154</v>
      </c>
      <c r="J46" s="19"/>
      <c r="K46" s="19">
        <f>IF(SUM(C46:I46)=SUM(M46:Q46),SUM(C46:I46),SUM(M46:Q46)-SUM(C46:I46))</f>
        <v>82086</v>
      </c>
      <c r="L46" s="19"/>
      <c r="M46" s="19">
        <v>65660</v>
      </c>
      <c r="N46" s="19"/>
      <c r="O46" s="19">
        <v>16426</v>
      </c>
      <c r="P46" s="19"/>
      <c r="Q46" s="19">
        <v>0</v>
      </c>
      <c r="R46" s="6"/>
    </row>
    <row r="47" spans="1:18" s="3" customFormat="1" ht="13.5" customHeight="1">
      <c r="A47" s="19" t="s">
        <v>49</v>
      </c>
      <c r="B47" s="20" t="s">
        <v>13</v>
      </c>
      <c r="C47" s="19">
        <v>0</v>
      </c>
      <c r="D47" s="23"/>
      <c r="E47" s="19">
        <v>0</v>
      </c>
      <c r="F47" s="23"/>
      <c r="G47" s="19">
        <v>59752</v>
      </c>
      <c r="H47" s="23"/>
      <c r="I47" s="19">
        <v>35839</v>
      </c>
      <c r="J47" s="19"/>
      <c r="K47" s="19">
        <f t="shared" si="0"/>
        <v>95591</v>
      </c>
      <c r="L47" s="19"/>
      <c r="M47" s="19">
        <v>59558</v>
      </c>
      <c r="N47" s="19"/>
      <c r="O47" s="19">
        <f>-1+36034</f>
        <v>36033</v>
      </c>
      <c r="P47" s="19"/>
      <c r="Q47" s="19">
        <v>0</v>
      </c>
      <c r="R47" s="6"/>
    </row>
    <row r="48" spans="1:18" s="3" customFormat="1" ht="13.5" customHeight="1">
      <c r="A48" s="19" t="s">
        <v>50</v>
      </c>
      <c r="B48" s="20" t="s">
        <v>13</v>
      </c>
      <c r="C48" s="23">
        <v>0</v>
      </c>
      <c r="D48" s="23"/>
      <c r="E48" s="19">
        <v>0</v>
      </c>
      <c r="F48" s="23"/>
      <c r="G48" s="19">
        <v>113101</v>
      </c>
      <c r="H48" s="23"/>
      <c r="I48" s="19">
        <v>15000</v>
      </c>
      <c r="J48" s="19"/>
      <c r="K48" s="23">
        <f t="shared" si="0"/>
        <v>128101</v>
      </c>
      <c r="L48" s="19"/>
      <c r="M48" s="19">
        <v>116111</v>
      </c>
      <c r="N48" s="19"/>
      <c r="O48" s="19">
        <v>11990</v>
      </c>
      <c r="P48" s="19"/>
      <c r="Q48" s="19">
        <v>0</v>
      </c>
      <c r="R48" s="6"/>
    </row>
    <row r="49" spans="1:18" s="3" customFormat="1" ht="13.5" customHeight="1">
      <c r="A49" s="19" t="s">
        <v>283</v>
      </c>
      <c r="B49" s="20"/>
      <c r="C49" s="23">
        <v>0</v>
      </c>
      <c r="D49" s="23"/>
      <c r="E49" s="19">
        <v>0</v>
      </c>
      <c r="F49" s="23"/>
      <c r="G49" s="19">
        <v>6444</v>
      </c>
      <c r="H49" s="23"/>
      <c r="I49" s="19">
        <v>0</v>
      </c>
      <c r="J49" s="19"/>
      <c r="K49" s="23">
        <f t="shared" si="0"/>
        <v>6444</v>
      </c>
      <c r="L49" s="19"/>
      <c r="M49" s="19">
        <v>0</v>
      </c>
      <c r="N49" s="19"/>
      <c r="O49" s="19">
        <v>6444</v>
      </c>
      <c r="P49" s="19"/>
      <c r="Q49" s="19">
        <v>0</v>
      </c>
      <c r="R49" s="6"/>
    </row>
    <row r="50" spans="1:18" s="3" customFormat="1" ht="13.5" customHeight="1">
      <c r="A50" s="19" t="s">
        <v>250</v>
      </c>
      <c r="B50" s="20" t="s">
        <v>13</v>
      </c>
      <c r="C50" s="19">
        <v>32716</v>
      </c>
      <c r="D50" s="23"/>
      <c r="E50" s="19">
        <v>0</v>
      </c>
      <c r="F50" s="23"/>
      <c r="G50" s="19">
        <v>94788</v>
      </c>
      <c r="H50" s="23"/>
      <c r="I50" s="19">
        <v>296932</v>
      </c>
      <c r="J50" s="19"/>
      <c r="K50" s="19">
        <f>IF(SUM(C50:I50)=SUM(M50:Q50),SUM(C50:I50),SUM(M50:Q50)-SUM(C50:I50))</f>
        <v>424436</v>
      </c>
      <c r="L50" s="19"/>
      <c r="M50" s="19">
        <v>393198</v>
      </c>
      <c r="N50" s="19"/>
      <c r="O50" s="19">
        <v>23431</v>
      </c>
      <c r="P50" s="19"/>
      <c r="Q50" s="19">
        <v>7807</v>
      </c>
      <c r="R50" s="6"/>
    </row>
    <row r="51" spans="1:18" s="3" customFormat="1" ht="13.5" customHeight="1">
      <c r="A51" s="19" t="s">
        <v>251</v>
      </c>
      <c r="B51" s="20" t="s">
        <v>13</v>
      </c>
      <c r="C51" s="22">
        <f>SUM(C40:C50)</f>
        <v>444516</v>
      </c>
      <c r="D51" s="23"/>
      <c r="E51" s="22">
        <f>SUM(E40:E50)</f>
        <v>32039</v>
      </c>
      <c r="F51" s="23"/>
      <c r="G51" s="22">
        <f>SUM(G40:G50)</f>
        <v>1107881</v>
      </c>
      <c r="H51" s="23"/>
      <c r="I51" s="22">
        <f>SUM(I40:I50)</f>
        <v>900807</v>
      </c>
      <c r="J51" s="19"/>
      <c r="K51" s="22">
        <f t="shared" si="0"/>
        <v>2485243</v>
      </c>
      <c r="L51" s="19"/>
      <c r="M51" s="22">
        <f>SUM(M40:M50)</f>
        <v>1977174</v>
      </c>
      <c r="N51" s="19"/>
      <c r="O51" s="22">
        <f>SUM(O40:O50)</f>
        <v>488107</v>
      </c>
      <c r="P51" s="19"/>
      <c r="Q51" s="22">
        <f>SUM(Q40:Q50)</f>
        <v>19962</v>
      </c>
      <c r="R51" s="6"/>
    </row>
    <row r="52" spans="1:18" s="3" customFormat="1" ht="13.5" customHeight="1">
      <c r="A52" s="19"/>
      <c r="B52" s="20"/>
      <c r="C52" s="23"/>
      <c r="D52" s="23"/>
      <c r="E52" s="23"/>
      <c r="F52" s="23"/>
      <c r="G52" s="23"/>
      <c r="H52" s="23"/>
      <c r="I52" s="23"/>
      <c r="J52" s="19"/>
      <c r="K52" s="23"/>
      <c r="L52" s="19"/>
      <c r="M52" s="23"/>
      <c r="N52" s="19"/>
      <c r="O52" s="23"/>
      <c r="P52" s="19"/>
      <c r="Q52" s="23"/>
      <c r="R52" s="6"/>
    </row>
    <row r="53" spans="1:18" s="3" customFormat="1" ht="13.5" customHeight="1">
      <c r="A53" s="19" t="s">
        <v>311</v>
      </c>
      <c r="B53" s="20"/>
      <c r="C53" s="24">
        <v>0</v>
      </c>
      <c r="D53" s="23"/>
      <c r="E53" s="24">
        <v>0</v>
      </c>
      <c r="F53" s="23"/>
      <c r="G53" s="24">
        <v>12508</v>
      </c>
      <c r="H53" s="23"/>
      <c r="I53" s="24">
        <v>-130</v>
      </c>
      <c r="J53" s="19"/>
      <c r="K53" s="24">
        <f>IF(SUM(C53:I53)=SUM(M53:Q53),SUM(C53:I53),SUM(M53:Q53)-SUM(C53:I53))</f>
        <v>12378</v>
      </c>
      <c r="L53" s="19"/>
      <c r="M53" s="24">
        <v>1436</v>
      </c>
      <c r="N53" s="19"/>
      <c r="O53" s="24">
        <v>10942</v>
      </c>
      <c r="P53" s="19"/>
      <c r="Q53" s="24">
        <v>0</v>
      </c>
      <c r="R53" s="6"/>
    </row>
    <row r="54" spans="1:18" s="3" customFormat="1" ht="13.5" customHeight="1">
      <c r="A54" s="19"/>
      <c r="B54" s="20" t="s">
        <v>13</v>
      </c>
      <c r="C54" s="19"/>
      <c r="D54" s="23"/>
      <c r="E54" s="19"/>
      <c r="F54" s="23"/>
      <c r="G54" s="19"/>
      <c r="H54" s="23"/>
      <c r="I54" s="19"/>
      <c r="J54" s="19"/>
      <c r="K54" s="19"/>
      <c r="L54" s="19"/>
      <c r="M54" s="19"/>
      <c r="N54" s="19"/>
      <c r="O54" s="19"/>
      <c r="P54" s="19"/>
      <c r="Q54" s="19"/>
      <c r="R54" s="6"/>
    </row>
    <row r="55" spans="1:18" s="3" customFormat="1" ht="13.5" customHeight="1">
      <c r="A55" s="19" t="s">
        <v>15</v>
      </c>
      <c r="B55" s="20" t="s">
        <v>13</v>
      </c>
      <c r="C55" s="19"/>
      <c r="D55" s="23"/>
      <c r="E55" s="19"/>
      <c r="F55" s="23"/>
      <c r="G55" s="19"/>
      <c r="H55" s="23"/>
      <c r="I55" s="19"/>
      <c r="J55" s="19"/>
      <c r="K55" s="19"/>
      <c r="L55" s="19"/>
      <c r="M55" s="19"/>
      <c r="N55" s="19"/>
      <c r="O55" s="19"/>
      <c r="P55" s="19"/>
      <c r="Q55" s="19"/>
      <c r="R55" s="6"/>
    </row>
    <row r="56" spans="1:18" s="3" customFormat="1" ht="13.5" customHeight="1">
      <c r="A56" s="19" t="s">
        <v>224</v>
      </c>
      <c r="B56" s="20"/>
      <c r="C56" s="19">
        <v>0</v>
      </c>
      <c r="D56" s="23"/>
      <c r="E56" s="19">
        <v>0</v>
      </c>
      <c r="F56" s="23"/>
      <c r="G56" s="19">
        <v>2145</v>
      </c>
      <c r="H56" s="23"/>
      <c r="I56" s="19">
        <v>931967</v>
      </c>
      <c r="J56" s="19"/>
      <c r="K56" s="19">
        <f t="shared" si="0"/>
        <v>934112</v>
      </c>
      <c r="L56" s="19"/>
      <c r="M56" s="19">
        <v>845619</v>
      </c>
      <c r="N56" s="19"/>
      <c r="O56" s="19">
        <v>88493</v>
      </c>
      <c r="P56" s="19"/>
      <c r="Q56" s="19">
        <v>0</v>
      </c>
      <c r="R56" s="6"/>
    </row>
    <row r="57" spans="1:18" s="3" customFormat="1" ht="13.5" customHeight="1">
      <c r="A57" s="19" t="s">
        <v>284</v>
      </c>
      <c r="B57" s="20"/>
      <c r="C57" s="19">
        <v>0</v>
      </c>
      <c r="D57" s="23"/>
      <c r="E57" s="19">
        <v>0</v>
      </c>
      <c r="F57" s="23"/>
      <c r="G57" s="19">
        <v>0</v>
      </c>
      <c r="H57" s="23"/>
      <c r="I57" s="19">
        <v>88301</v>
      </c>
      <c r="J57" s="19"/>
      <c r="K57" s="19">
        <f t="shared" si="0"/>
        <v>88301</v>
      </c>
      <c r="L57" s="19"/>
      <c r="M57" s="19">
        <v>0</v>
      </c>
      <c r="N57" s="19"/>
      <c r="O57" s="19">
        <v>88301</v>
      </c>
      <c r="P57" s="19"/>
      <c r="Q57" s="19">
        <v>0</v>
      </c>
      <c r="R57" s="6"/>
    </row>
    <row r="58" spans="1:18" s="3" customFormat="1" ht="13.5" customHeight="1">
      <c r="A58" s="19" t="s">
        <v>31</v>
      </c>
      <c r="B58" s="20" t="s">
        <v>13</v>
      </c>
      <c r="C58" s="19">
        <v>0</v>
      </c>
      <c r="D58" s="23"/>
      <c r="E58" s="19">
        <v>0</v>
      </c>
      <c r="F58" s="23"/>
      <c r="G58" s="19">
        <v>85236</v>
      </c>
      <c r="H58" s="23"/>
      <c r="I58" s="19">
        <v>18452</v>
      </c>
      <c r="J58" s="19"/>
      <c r="K58" s="19">
        <f t="shared" si="0"/>
        <v>103688</v>
      </c>
      <c r="L58" s="19"/>
      <c r="M58" s="19">
        <v>0</v>
      </c>
      <c r="N58" s="19"/>
      <c r="O58" s="19">
        <v>103688</v>
      </c>
      <c r="P58" s="19"/>
      <c r="Q58" s="19">
        <v>0</v>
      </c>
      <c r="R58" s="6"/>
    </row>
    <row r="59" spans="1:18" s="3" customFormat="1" ht="13.5" customHeight="1">
      <c r="A59" s="19" t="s">
        <v>195</v>
      </c>
      <c r="B59" s="20" t="s">
        <v>13</v>
      </c>
      <c r="C59" s="19">
        <v>1620718</v>
      </c>
      <c r="D59" s="23"/>
      <c r="E59" s="19">
        <v>0</v>
      </c>
      <c r="F59" s="23"/>
      <c r="G59" s="19">
        <v>1000</v>
      </c>
      <c r="H59" s="23"/>
      <c r="I59" s="19">
        <v>368583</v>
      </c>
      <c r="J59" s="19"/>
      <c r="K59" s="23">
        <f t="shared" si="0"/>
        <v>1990301</v>
      </c>
      <c r="L59" s="19"/>
      <c r="M59" s="19">
        <v>402420</v>
      </c>
      <c r="N59" s="19"/>
      <c r="O59" s="19">
        <v>1433610</v>
      </c>
      <c r="P59" s="19"/>
      <c r="Q59" s="19">
        <v>154271</v>
      </c>
      <c r="R59" s="6"/>
    </row>
    <row r="60" spans="1:18" s="3" customFormat="1" ht="13.5" customHeight="1">
      <c r="A60" s="19" t="s">
        <v>121</v>
      </c>
      <c r="B60" s="20" t="s">
        <v>13</v>
      </c>
      <c r="C60" s="34">
        <f>SUM(C56:C59)</f>
        <v>1620718</v>
      </c>
      <c r="D60" s="23"/>
      <c r="E60" s="34">
        <f>SUM(E56:E59)</f>
        <v>0</v>
      </c>
      <c r="F60" s="23"/>
      <c r="G60" s="34">
        <f>SUM(G56:G59)</f>
        <v>88381</v>
      </c>
      <c r="H60" s="23"/>
      <c r="I60" s="34">
        <f>SUM(I56:I59)</f>
        <v>1407303</v>
      </c>
      <c r="J60" s="19"/>
      <c r="K60" s="22">
        <f>SUM(K56:K59)</f>
        <v>3116402</v>
      </c>
      <c r="L60" s="19"/>
      <c r="M60" s="34">
        <f>SUM(M56:M59)</f>
        <v>1248039</v>
      </c>
      <c r="N60" s="19"/>
      <c r="O60" s="34">
        <f>SUM(O56:O59)</f>
        <v>1714092</v>
      </c>
      <c r="P60" s="19"/>
      <c r="Q60" s="34">
        <f>SUM(Q56:Q59)</f>
        <v>154271</v>
      </c>
      <c r="R60" s="6"/>
    </row>
    <row r="61" spans="1:18" s="3" customFormat="1" ht="13.5" customHeight="1">
      <c r="A61" s="19"/>
      <c r="B61" s="20" t="s">
        <v>13</v>
      </c>
      <c r="C61" s="19"/>
      <c r="D61" s="23"/>
      <c r="E61" s="19"/>
      <c r="F61" s="23"/>
      <c r="G61" s="19"/>
      <c r="H61" s="23"/>
      <c r="I61" s="19"/>
      <c r="J61" s="19"/>
      <c r="K61" s="19"/>
      <c r="L61" s="19"/>
      <c r="M61" s="19"/>
      <c r="N61" s="19"/>
      <c r="O61" s="19"/>
      <c r="P61" s="19"/>
      <c r="Q61" s="19"/>
      <c r="R61" s="6"/>
    </row>
    <row r="62" spans="1:18" s="3" customFormat="1" ht="13.5" customHeight="1">
      <c r="A62" s="19" t="s">
        <v>219</v>
      </c>
      <c r="B62" s="20"/>
      <c r="C62" s="24">
        <v>0</v>
      </c>
      <c r="D62" s="23"/>
      <c r="E62" s="24">
        <v>0</v>
      </c>
      <c r="F62" s="23"/>
      <c r="G62" s="24">
        <v>52964</v>
      </c>
      <c r="H62" s="23"/>
      <c r="I62" s="24">
        <v>0</v>
      </c>
      <c r="J62" s="19"/>
      <c r="K62" s="24">
        <f>IF(SUM(C62:I62)=SUM(M62:Q62),SUM(C62:I62),SUM(M62:Q62)-SUM(C62:I62))</f>
        <v>52964</v>
      </c>
      <c r="L62" s="19"/>
      <c r="M62" s="24">
        <v>52964</v>
      </c>
      <c r="N62" s="19"/>
      <c r="O62" s="24">
        <v>0</v>
      </c>
      <c r="P62" s="19"/>
      <c r="Q62" s="24">
        <v>0</v>
      </c>
      <c r="R62" s="6"/>
    </row>
    <row r="63" spans="1:18" s="3" customFormat="1" ht="13.5" customHeight="1">
      <c r="A63" s="19"/>
      <c r="B63" s="20"/>
      <c r="C63" s="19"/>
      <c r="D63" s="23"/>
      <c r="E63" s="19"/>
      <c r="F63" s="23"/>
      <c r="G63" s="19"/>
      <c r="H63" s="23"/>
      <c r="I63" s="19"/>
      <c r="J63" s="19"/>
      <c r="K63" s="19"/>
      <c r="L63" s="19"/>
      <c r="M63" s="19"/>
      <c r="N63" s="19"/>
      <c r="O63" s="19"/>
      <c r="P63" s="19"/>
      <c r="Q63" s="19"/>
      <c r="R63" s="6"/>
    </row>
    <row r="64" spans="1:18" s="3" customFormat="1" ht="13.5" customHeight="1">
      <c r="A64" s="19" t="s">
        <v>231</v>
      </c>
      <c r="B64" s="20"/>
      <c r="C64" s="24">
        <v>0</v>
      </c>
      <c r="D64" s="23"/>
      <c r="E64" s="24">
        <v>0</v>
      </c>
      <c r="F64" s="23"/>
      <c r="G64" s="24">
        <v>0</v>
      </c>
      <c r="H64" s="23"/>
      <c r="I64" s="24">
        <v>8520</v>
      </c>
      <c r="J64" s="19"/>
      <c r="K64" s="24">
        <f t="shared" si="0"/>
        <v>8520</v>
      </c>
      <c r="L64" s="19"/>
      <c r="M64" s="24">
        <v>8520</v>
      </c>
      <c r="N64" s="19"/>
      <c r="O64" s="24">
        <v>0</v>
      </c>
      <c r="P64" s="19"/>
      <c r="Q64" s="24">
        <v>0</v>
      </c>
      <c r="R64" s="6"/>
    </row>
    <row r="65" spans="1:18" s="3" customFormat="1" ht="13.5" customHeight="1">
      <c r="A65" s="19"/>
      <c r="B65" s="20"/>
      <c r="C65" s="19"/>
      <c r="D65" s="23"/>
      <c r="E65" s="19"/>
      <c r="F65" s="23"/>
      <c r="G65" s="19"/>
      <c r="H65" s="23"/>
      <c r="I65" s="19"/>
      <c r="J65" s="19"/>
      <c r="K65" s="19"/>
      <c r="L65" s="19"/>
      <c r="M65" s="19"/>
      <c r="N65" s="19"/>
      <c r="O65" s="19"/>
      <c r="P65" s="19"/>
      <c r="Q65" s="19"/>
      <c r="R65" s="6"/>
    </row>
    <row r="66" spans="1:18" s="3" customFormat="1" ht="13.5" customHeight="1">
      <c r="A66" s="19" t="s">
        <v>253</v>
      </c>
      <c r="B66" s="20"/>
      <c r="C66" s="21">
        <v>13614</v>
      </c>
      <c r="D66" s="23"/>
      <c r="E66" s="21">
        <v>0</v>
      </c>
      <c r="F66" s="23"/>
      <c r="G66" s="21">
        <v>0</v>
      </c>
      <c r="H66" s="23"/>
      <c r="I66" s="21">
        <v>0</v>
      </c>
      <c r="J66" s="19"/>
      <c r="K66" s="21">
        <f t="shared" si="0"/>
        <v>13614</v>
      </c>
      <c r="L66" s="19"/>
      <c r="M66" s="24">
        <v>0</v>
      </c>
      <c r="N66" s="19"/>
      <c r="O66" s="24">
        <v>332</v>
      </c>
      <c r="P66" s="19"/>
      <c r="Q66" s="24">
        <f>1+13281</f>
        <v>13282</v>
      </c>
      <c r="R66" s="6"/>
    </row>
    <row r="67" spans="1:18" s="3" customFormat="1" ht="13.5" customHeight="1">
      <c r="A67" s="19"/>
      <c r="B67" s="20"/>
      <c r="C67" s="19"/>
      <c r="D67" s="23"/>
      <c r="E67" s="19"/>
      <c r="F67" s="23"/>
      <c r="G67" s="19"/>
      <c r="H67" s="23"/>
      <c r="I67" s="19"/>
      <c r="J67" s="19"/>
      <c r="K67" s="19"/>
      <c r="L67" s="19"/>
      <c r="M67" s="19"/>
      <c r="N67" s="19"/>
      <c r="O67" s="19"/>
      <c r="P67" s="19"/>
      <c r="Q67" s="19"/>
      <c r="R67" s="6"/>
    </row>
    <row r="68" spans="1:18" s="3" customFormat="1" ht="13.5" customHeight="1">
      <c r="A68" s="19" t="s">
        <v>16</v>
      </c>
      <c r="B68" s="20" t="s">
        <v>13</v>
      </c>
      <c r="C68" s="19" t="s">
        <v>13</v>
      </c>
      <c r="D68" s="23"/>
      <c r="E68" s="19" t="s">
        <v>13</v>
      </c>
      <c r="F68" s="23"/>
      <c r="G68" s="19" t="s">
        <v>13</v>
      </c>
      <c r="H68" s="23"/>
      <c r="I68" s="19" t="s">
        <v>13</v>
      </c>
      <c r="J68" s="19"/>
      <c r="K68" s="19"/>
      <c r="L68" s="19"/>
      <c r="M68" s="19" t="s">
        <v>13</v>
      </c>
      <c r="N68" s="19"/>
      <c r="O68" s="19" t="s">
        <v>13</v>
      </c>
      <c r="P68" s="19"/>
      <c r="Q68" s="19" t="s">
        <v>13</v>
      </c>
      <c r="R68" s="6"/>
    </row>
    <row r="69" spans="1:18" s="3" customFormat="1" ht="13.5" customHeight="1">
      <c r="A69" s="19" t="s">
        <v>281</v>
      </c>
      <c r="B69" s="20"/>
      <c r="C69" s="19">
        <v>0</v>
      </c>
      <c r="D69" s="23"/>
      <c r="E69" s="19">
        <v>0</v>
      </c>
      <c r="F69" s="23"/>
      <c r="G69" s="19">
        <v>7166</v>
      </c>
      <c r="H69" s="23"/>
      <c r="I69" s="19">
        <v>0</v>
      </c>
      <c r="J69" s="19"/>
      <c r="K69" s="19">
        <f>IF(SUM(C69:I69)=SUM(M69:Q69),SUM(C69:I69),SUM(M69:Q69)-SUM(C69:I69))</f>
        <v>7166</v>
      </c>
      <c r="L69" s="19"/>
      <c r="M69" s="19">
        <v>6200</v>
      </c>
      <c r="N69" s="19"/>
      <c r="O69" s="19">
        <v>966</v>
      </c>
      <c r="P69" s="19"/>
      <c r="Q69" s="19">
        <v>0</v>
      </c>
      <c r="R69" s="6"/>
    </row>
    <row r="70" spans="1:18" s="3" customFormat="1" ht="13.5" customHeight="1">
      <c r="A70" s="19" t="s">
        <v>55</v>
      </c>
      <c r="B70" s="20" t="s">
        <v>13</v>
      </c>
      <c r="C70" s="19">
        <v>140580</v>
      </c>
      <c r="D70" s="23"/>
      <c r="E70" s="19">
        <v>0</v>
      </c>
      <c r="F70" s="23"/>
      <c r="G70" s="19">
        <v>202051</v>
      </c>
      <c r="H70" s="23"/>
      <c r="I70" s="19">
        <v>65280</v>
      </c>
      <c r="J70" s="19"/>
      <c r="K70" s="19">
        <f aca="true" t="shared" si="1" ref="K70:K77">IF(SUM(C70:I70)=SUM(M70:Q70),SUM(C70:I70),SUM(M70:Q70)-SUM(C70:I70))</f>
        <v>407911</v>
      </c>
      <c r="L70" s="19"/>
      <c r="M70" s="19">
        <v>247892</v>
      </c>
      <c r="N70" s="19"/>
      <c r="O70" s="19">
        <f>1+160018</f>
        <v>160019</v>
      </c>
      <c r="P70" s="19"/>
      <c r="Q70" s="19">
        <v>0</v>
      </c>
      <c r="R70" s="6"/>
    </row>
    <row r="71" spans="1:18" s="3" customFormat="1" ht="13.5" customHeight="1">
      <c r="A71" s="19" t="s">
        <v>56</v>
      </c>
      <c r="B71" s="20" t="s">
        <v>13</v>
      </c>
      <c r="C71" s="19">
        <v>0</v>
      </c>
      <c r="D71" s="23"/>
      <c r="E71" s="19">
        <v>0</v>
      </c>
      <c r="F71" s="23"/>
      <c r="G71" s="19">
        <v>30730</v>
      </c>
      <c r="H71" s="23"/>
      <c r="I71" s="19">
        <v>0</v>
      </c>
      <c r="J71" s="19"/>
      <c r="K71" s="19">
        <f t="shared" si="1"/>
        <v>30730</v>
      </c>
      <c r="L71" s="19"/>
      <c r="M71" s="19">
        <v>0</v>
      </c>
      <c r="N71" s="19"/>
      <c r="O71" s="19">
        <v>30730</v>
      </c>
      <c r="P71" s="19"/>
      <c r="Q71" s="19">
        <v>0</v>
      </c>
      <c r="R71" s="6"/>
    </row>
    <row r="72" spans="1:18" s="3" customFormat="1" ht="13.5" customHeight="1">
      <c r="A72" s="19" t="s">
        <v>268</v>
      </c>
      <c r="B72" s="20"/>
      <c r="C72" s="19">
        <v>0</v>
      </c>
      <c r="D72" s="23"/>
      <c r="E72" s="19">
        <v>0</v>
      </c>
      <c r="F72" s="23"/>
      <c r="G72" s="19">
        <v>221966</v>
      </c>
      <c r="H72" s="23"/>
      <c r="I72" s="19">
        <v>880</v>
      </c>
      <c r="J72" s="19"/>
      <c r="K72" s="19">
        <f t="shared" si="1"/>
        <v>222846</v>
      </c>
      <c r="L72" s="19"/>
      <c r="M72" s="19">
        <v>193765</v>
      </c>
      <c r="N72" s="19"/>
      <c r="O72" s="19">
        <f>1+29080</f>
        <v>29081</v>
      </c>
      <c r="P72" s="19"/>
      <c r="Q72" s="19">
        <v>0</v>
      </c>
      <c r="R72" s="6"/>
    </row>
    <row r="73" spans="1:18" s="3" customFormat="1" ht="13.5" customHeight="1">
      <c r="A73" s="19" t="s">
        <v>57</v>
      </c>
      <c r="B73" s="20" t="s">
        <v>13</v>
      </c>
      <c r="C73" s="19">
        <v>942322</v>
      </c>
      <c r="D73" s="23"/>
      <c r="E73" s="19">
        <v>49925</v>
      </c>
      <c r="F73" s="23"/>
      <c r="G73" s="19">
        <v>103082</v>
      </c>
      <c r="H73" s="23"/>
      <c r="I73" s="19">
        <v>50</v>
      </c>
      <c r="J73" s="19"/>
      <c r="K73" s="19">
        <f t="shared" si="1"/>
        <v>1095379</v>
      </c>
      <c r="L73" s="19"/>
      <c r="M73" s="19">
        <v>820346</v>
      </c>
      <c r="N73" s="19"/>
      <c r="O73" s="19">
        <v>262102</v>
      </c>
      <c r="P73" s="19"/>
      <c r="Q73" s="19">
        <f>-1+12932</f>
        <v>12931</v>
      </c>
      <c r="R73" s="6"/>
    </row>
    <row r="74" spans="1:18" s="3" customFormat="1" ht="13.5" customHeight="1">
      <c r="A74" s="19" t="s">
        <v>31</v>
      </c>
      <c r="B74" s="20"/>
      <c r="C74" s="19">
        <v>0</v>
      </c>
      <c r="D74" s="23"/>
      <c r="E74" s="19">
        <v>273186</v>
      </c>
      <c r="F74" s="23"/>
      <c r="G74" s="19">
        <v>244355</v>
      </c>
      <c r="H74" s="23"/>
      <c r="I74" s="19">
        <v>153489</v>
      </c>
      <c r="J74" s="19"/>
      <c r="K74" s="19">
        <f t="shared" si="1"/>
        <v>671030</v>
      </c>
      <c r="L74" s="19"/>
      <c r="M74" s="19">
        <v>453352</v>
      </c>
      <c r="N74" s="19"/>
      <c r="O74" s="19">
        <v>138340</v>
      </c>
      <c r="P74" s="19"/>
      <c r="Q74" s="19">
        <v>79338</v>
      </c>
      <c r="R74" s="6"/>
    </row>
    <row r="75" spans="1:18" s="3" customFormat="1" ht="13.5" customHeight="1">
      <c r="A75" s="19" t="s">
        <v>269</v>
      </c>
      <c r="B75" s="20" t="s">
        <v>13</v>
      </c>
      <c r="C75" s="19">
        <v>91658</v>
      </c>
      <c r="D75" s="23"/>
      <c r="E75" s="19">
        <v>1682</v>
      </c>
      <c r="F75" s="23"/>
      <c r="G75" s="19">
        <v>187906</v>
      </c>
      <c r="H75" s="23"/>
      <c r="I75" s="19">
        <v>195402</v>
      </c>
      <c r="J75" s="19"/>
      <c r="K75" s="19">
        <f t="shared" si="1"/>
        <v>476648</v>
      </c>
      <c r="L75" s="19"/>
      <c r="M75" s="19">
        <v>293886</v>
      </c>
      <c r="N75" s="19"/>
      <c r="O75" s="19">
        <f>1+182761</f>
        <v>182762</v>
      </c>
      <c r="P75" s="19"/>
      <c r="Q75" s="19">
        <v>0</v>
      </c>
      <c r="R75" s="6"/>
    </row>
    <row r="76" spans="1:18" s="3" customFormat="1" ht="13.5" customHeight="1">
      <c r="A76" s="19" t="s">
        <v>58</v>
      </c>
      <c r="B76" s="20" t="s">
        <v>13</v>
      </c>
      <c r="C76" s="19">
        <v>64610</v>
      </c>
      <c r="D76" s="23"/>
      <c r="E76" s="19">
        <v>0</v>
      </c>
      <c r="F76" s="23"/>
      <c r="G76" s="19">
        <v>262117</v>
      </c>
      <c r="H76" s="23"/>
      <c r="I76" s="19">
        <v>0</v>
      </c>
      <c r="J76" s="19"/>
      <c r="K76" s="21">
        <f>IF(SUM(C76:I76)=SUM(M76:Q76),SUM(C76:I76),SUM(M76:Q76)-SUM(C76:I76))</f>
        <v>326727</v>
      </c>
      <c r="L76" s="19"/>
      <c r="M76" s="24">
        <v>105029</v>
      </c>
      <c r="N76" s="19"/>
      <c r="O76" s="24">
        <f>-1+221699</f>
        <v>221698</v>
      </c>
      <c r="P76" s="19"/>
      <c r="Q76" s="24">
        <v>0</v>
      </c>
      <c r="R76" s="6"/>
    </row>
    <row r="77" spans="1:18" s="3" customFormat="1" ht="13.5" customHeight="1">
      <c r="A77" s="19" t="s">
        <v>122</v>
      </c>
      <c r="B77" s="20" t="s">
        <v>13</v>
      </c>
      <c r="C77" s="22">
        <f>SUM(C69:C76)</f>
        <v>1239170</v>
      </c>
      <c r="D77" s="23"/>
      <c r="E77" s="22">
        <f>SUM(E69:E76)</f>
        <v>324793</v>
      </c>
      <c r="F77" s="23"/>
      <c r="G77" s="22">
        <f>SUM(G69:G76)</f>
        <v>1259373</v>
      </c>
      <c r="H77" s="23"/>
      <c r="I77" s="22">
        <f>SUM(I69:I76)</f>
        <v>415101</v>
      </c>
      <c r="J77" s="19"/>
      <c r="K77" s="22">
        <f t="shared" si="1"/>
        <v>3238437</v>
      </c>
      <c r="L77" s="19"/>
      <c r="M77" s="22">
        <f>SUM(M69:M76)</f>
        <v>2120470</v>
      </c>
      <c r="N77" s="19"/>
      <c r="O77" s="22">
        <f>SUM(O69:O76)</f>
        <v>1025698</v>
      </c>
      <c r="P77" s="19"/>
      <c r="Q77" s="22">
        <f>SUM(Q69:Q76)</f>
        <v>92269</v>
      </c>
      <c r="R77" s="6"/>
    </row>
    <row r="78" spans="1:18" s="3" customFormat="1" ht="13.5" customHeight="1">
      <c r="A78" s="19"/>
      <c r="B78" s="20" t="s">
        <v>13</v>
      </c>
      <c r="C78" s="19"/>
      <c r="D78" s="23"/>
      <c r="E78" s="19"/>
      <c r="F78" s="23"/>
      <c r="G78" s="19"/>
      <c r="H78" s="23"/>
      <c r="I78" s="19"/>
      <c r="J78" s="19"/>
      <c r="K78" s="19"/>
      <c r="L78" s="19"/>
      <c r="M78" s="19"/>
      <c r="N78" s="19"/>
      <c r="O78" s="19"/>
      <c r="P78" s="19"/>
      <c r="Q78" s="19"/>
      <c r="R78" s="6"/>
    </row>
    <row r="79" spans="1:18" s="3" customFormat="1" ht="13.5" customHeight="1">
      <c r="A79" s="19" t="s">
        <v>189</v>
      </c>
      <c r="B79" s="20"/>
      <c r="C79" s="21">
        <v>297469</v>
      </c>
      <c r="D79" s="23"/>
      <c r="E79" s="21">
        <v>368571</v>
      </c>
      <c r="F79" s="23"/>
      <c r="G79" s="21">
        <v>153304</v>
      </c>
      <c r="H79" s="23"/>
      <c r="I79" s="21">
        <v>73471</v>
      </c>
      <c r="J79" s="19"/>
      <c r="K79" s="21">
        <f>IF(SUM(C79:I79)=SUM(M79:Q79),SUM(C79:I79),SUM(M79:Q79)-SUM(C79:I79))</f>
        <v>892815</v>
      </c>
      <c r="L79" s="19"/>
      <c r="M79" s="24">
        <v>549416</v>
      </c>
      <c r="N79" s="19"/>
      <c r="O79" s="24">
        <v>233147</v>
      </c>
      <c r="P79" s="19"/>
      <c r="Q79" s="24">
        <f>1+110251</f>
        <v>110252</v>
      </c>
      <c r="R79" s="6"/>
    </row>
    <row r="80" spans="1:18" s="3" customFormat="1" ht="13.5" customHeight="1">
      <c r="A80" s="19"/>
      <c r="B80" s="20"/>
      <c r="C80" s="19"/>
      <c r="D80" s="23"/>
      <c r="E80" s="19"/>
      <c r="F80" s="23"/>
      <c r="G80" s="19"/>
      <c r="H80" s="23"/>
      <c r="I80" s="19"/>
      <c r="J80" s="19"/>
      <c r="K80" s="19"/>
      <c r="L80" s="19"/>
      <c r="M80" s="19"/>
      <c r="N80" s="19"/>
      <c r="O80" s="19"/>
      <c r="P80" s="19"/>
      <c r="Q80" s="19"/>
      <c r="R80" s="6"/>
    </row>
    <row r="81" spans="1:18" s="3" customFormat="1" ht="13.5" customHeight="1">
      <c r="A81" s="19" t="s">
        <v>59</v>
      </c>
      <c r="B81" s="20" t="s">
        <v>13</v>
      </c>
      <c r="C81" s="21">
        <v>0</v>
      </c>
      <c r="D81" s="23"/>
      <c r="E81" s="21">
        <v>3365</v>
      </c>
      <c r="F81" s="23"/>
      <c r="G81" s="21">
        <v>2657</v>
      </c>
      <c r="H81" s="23"/>
      <c r="I81" s="21">
        <v>0</v>
      </c>
      <c r="J81" s="19"/>
      <c r="K81" s="21">
        <f>IF(SUM(C81:I81)=SUM(M81:Q81),SUM(C81:I81),SUM(M81:Q81)-SUM(C81:I81))</f>
        <v>6022</v>
      </c>
      <c r="L81" s="19"/>
      <c r="M81" s="24">
        <v>3155</v>
      </c>
      <c r="N81" s="19"/>
      <c r="O81" s="24">
        <v>2657</v>
      </c>
      <c r="P81" s="19"/>
      <c r="Q81" s="24">
        <v>210</v>
      </c>
      <c r="R81" s="6"/>
    </row>
    <row r="82" spans="1:18" s="3" customFormat="1" ht="13.5" customHeight="1">
      <c r="A82" s="19"/>
      <c r="B82" s="20" t="s">
        <v>13</v>
      </c>
      <c r="C82" s="19"/>
      <c r="D82" s="23"/>
      <c r="E82" s="19"/>
      <c r="F82" s="23"/>
      <c r="G82" s="19"/>
      <c r="H82" s="23"/>
      <c r="I82" s="19"/>
      <c r="J82" s="19"/>
      <c r="K82" s="19"/>
      <c r="L82" s="19"/>
      <c r="M82" s="19"/>
      <c r="N82" s="19"/>
      <c r="O82" s="19"/>
      <c r="P82" s="19"/>
      <c r="Q82" s="19"/>
      <c r="R82" s="6"/>
    </row>
    <row r="83" spans="1:18" s="3" customFormat="1" ht="13.5" customHeight="1">
      <c r="A83" s="19" t="s">
        <v>60</v>
      </c>
      <c r="B83" s="20" t="s">
        <v>13</v>
      </c>
      <c r="C83" s="21">
        <v>0</v>
      </c>
      <c r="D83" s="23"/>
      <c r="E83" s="21">
        <v>0</v>
      </c>
      <c r="F83" s="23"/>
      <c r="G83" s="21">
        <v>16157</v>
      </c>
      <c r="H83" s="23"/>
      <c r="I83" s="21">
        <v>0</v>
      </c>
      <c r="J83" s="19"/>
      <c r="K83" s="21">
        <f>IF(SUM(C83:I83)=SUM(M83:Q83),SUM(C83:I83),SUM(M83:Q83)-SUM(C83:I83))</f>
        <v>16157</v>
      </c>
      <c r="L83" s="19"/>
      <c r="M83" s="24">
        <v>7930</v>
      </c>
      <c r="N83" s="19"/>
      <c r="O83" s="24">
        <v>8227</v>
      </c>
      <c r="P83" s="19"/>
      <c r="Q83" s="24">
        <v>0</v>
      </c>
      <c r="R83" s="6"/>
    </row>
    <row r="84" spans="1:18" s="3" customFormat="1" ht="13.5" customHeight="1">
      <c r="A84" s="19"/>
      <c r="B84" s="20"/>
      <c r="C84" s="23"/>
      <c r="D84" s="23"/>
      <c r="E84" s="23"/>
      <c r="F84" s="23"/>
      <c r="G84" s="23"/>
      <c r="H84" s="23"/>
      <c r="I84" s="23"/>
      <c r="J84" s="19"/>
      <c r="K84" s="23"/>
      <c r="L84" s="19"/>
      <c r="M84" s="23"/>
      <c r="N84" s="19"/>
      <c r="O84" s="23"/>
      <c r="P84" s="19"/>
      <c r="Q84" s="23"/>
      <c r="R84" s="6"/>
    </row>
    <row r="85" spans="1:18" s="3" customFormat="1" ht="13.5" customHeight="1">
      <c r="A85" s="19" t="s">
        <v>232</v>
      </c>
      <c r="B85" s="20" t="s">
        <v>13</v>
      </c>
      <c r="C85" s="19" t="s">
        <v>13</v>
      </c>
      <c r="D85" s="23"/>
      <c r="E85" s="19" t="s">
        <v>13</v>
      </c>
      <c r="F85" s="23"/>
      <c r="G85" s="19" t="s">
        <v>13</v>
      </c>
      <c r="H85" s="23"/>
      <c r="I85" s="19" t="s">
        <v>13</v>
      </c>
      <c r="J85" s="19"/>
      <c r="K85" s="19"/>
      <c r="L85" s="19"/>
      <c r="M85" s="19" t="s">
        <v>13</v>
      </c>
      <c r="N85" s="19"/>
      <c r="O85" s="19" t="s">
        <v>13</v>
      </c>
      <c r="P85" s="19"/>
      <c r="Q85" s="19" t="s">
        <v>13</v>
      </c>
      <c r="R85" s="6"/>
    </row>
    <row r="86" spans="1:18" s="3" customFormat="1" ht="13.5" customHeight="1">
      <c r="A86" s="19" t="s">
        <v>312</v>
      </c>
      <c r="B86" s="20"/>
      <c r="C86" s="19">
        <v>3694</v>
      </c>
      <c r="D86" s="23"/>
      <c r="E86" s="19">
        <v>0</v>
      </c>
      <c r="F86" s="23"/>
      <c r="G86" s="19">
        <v>0</v>
      </c>
      <c r="H86" s="23"/>
      <c r="I86" s="19">
        <v>0</v>
      </c>
      <c r="J86" s="19"/>
      <c r="K86" s="19">
        <f aca="true" t="shared" si="2" ref="K86:K96">IF(SUM(C86:I86)=SUM(M86:Q86),SUM(C86:I86),SUM(M86:Q86)-SUM(C86:I86))</f>
        <v>3694</v>
      </c>
      <c r="L86" s="19"/>
      <c r="M86" s="19">
        <v>3067</v>
      </c>
      <c r="N86" s="19"/>
      <c r="O86" s="19">
        <v>627</v>
      </c>
      <c r="P86" s="19"/>
      <c r="Q86" s="19">
        <v>0</v>
      </c>
      <c r="R86" s="6"/>
    </row>
    <row r="87" spans="1:18" s="3" customFormat="1" ht="13.5" customHeight="1">
      <c r="A87" s="19" t="s">
        <v>117</v>
      </c>
      <c r="B87" s="20"/>
      <c r="C87" s="19">
        <v>0</v>
      </c>
      <c r="D87" s="23"/>
      <c r="E87" s="19">
        <v>0</v>
      </c>
      <c r="F87" s="23"/>
      <c r="G87" s="19">
        <v>11196</v>
      </c>
      <c r="H87" s="23"/>
      <c r="I87" s="19">
        <v>0</v>
      </c>
      <c r="J87" s="19"/>
      <c r="K87" s="19">
        <f t="shared" si="2"/>
        <v>11196</v>
      </c>
      <c r="L87" s="19"/>
      <c r="M87" s="19">
        <v>0</v>
      </c>
      <c r="N87" s="19"/>
      <c r="O87" s="19">
        <v>11196</v>
      </c>
      <c r="P87" s="19"/>
      <c r="Q87" s="19">
        <v>0</v>
      </c>
      <c r="R87" s="6"/>
    </row>
    <row r="88" spans="1:18" s="3" customFormat="1" ht="13.5" customHeight="1">
      <c r="A88" s="19" t="s">
        <v>32</v>
      </c>
      <c r="B88" s="20" t="s">
        <v>13</v>
      </c>
      <c r="C88" s="19">
        <v>55938</v>
      </c>
      <c r="D88" s="23"/>
      <c r="E88" s="19">
        <v>0</v>
      </c>
      <c r="F88" s="23"/>
      <c r="G88" s="19">
        <v>24288</v>
      </c>
      <c r="H88" s="23"/>
      <c r="I88" s="19">
        <v>6258</v>
      </c>
      <c r="J88" s="19"/>
      <c r="K88" s="19">
        <f t="shared" si="2"/>
        <v>86484</v>
      </c>
      <c r="L88" s="19"/>
      <c r="M88" s="19">
        <v>80406</v>
      </c>
      <c r="N88" s="19"/>
      <c r="O88" s="19">
        <f>1+6077</f>
        <v>6078</v>
      </c>
      <c r="P88" s="19"/>
      <c r="Q88" s="19">
        <v>0</v>
      </c>
      <c r="R88" s="6"/>
    </row>
    <row r="89" spans="1:18" s="3" customFormat="1" ht="13.5" customHeight="1">
      <c r="A89" s="19" t="s">
        <v>33</v>
      </c>
      <c r="B89" s="20" t="s">
        <v>13</v>
      </c>
      <c r="C89" s="19">
        <v>24300</v>
      </c>
      <c r="D89" s="23"/>
      <c r="E89" s="19">
        <v>0</v>
      </c>
      <c r="F89" s="23"/>
      <c r="G89" s="19">
        <v>2671</v>
      </c>
      <c r="H89" s="23"/>
      <c r="I89" s="19">
        <v>0</v>
      </c>
      <c r="J89" s="19"/>
      <c r="K89" s="19">
        <f t="shared" si="2"/>
        <v>26971</v>
      </c>
      <c r="L89" s="19"/>
      <c r="M89" s="19">
        <v>24300</v>
      </c>
      <c r="N89" s="19"/>
      <c r="O89" s="19">
        <v>2671</v>
      </c>
      <c r="P89" s="19"/>
      <c r="Q89" s="19">
        <v>0</v>
      </c>
      <c r="R89" s="6"/>
    </row>
    <row r="90" spans="1:18" s="3" customFormat="1" ht="13.5" customHeight="1">
      <c r="A90" s="19" t="s">
        <v>34</v>
      </c>
      <c r="B90" s="20" t="s">
        <v>13</v>
      </c>
      <c r="C90" s="19">
        <v>0</v>
      </c>
      <c r="D90" s="23"/>
      <c r="E90" s="19">
        <v>0</v>
      </c>
      <c r="F90" s="23"/>
      <c r="G90" s="19">
        <v>29615</v>
      </c>
      <c r="H90" s="23"/>
      <c r="I90" s="19">
        <v>24451</v>
      </c>
      <c r="J90" s="19"/>
      <c r="K90" s="19">
        <f t="shared" si="2"/>
        <v>54066</v>
      </c>
      <c r="L90" s="19"/>
      <c r="M90" s="19">
        <v>33111</v>
      </c>
      <c r="N90" s="19"/>
      <c r="O90" s="19">
        <v>20955</v>
      </c>
      <c r="P90" s="19"/>
      <c r="Q90" s="19">
        <v>0</v>
      </c>
      <c r="R90" s="6"/>
    </row>
    <row r="91" spans="1:18" s="3" customFormat="1" ht="13.5" customHeight="1">
      <c r="A91" s="19" t="s">
        <v>35</v>
      </c>
      <c r="B91" s="20" t="s">
        <v>13</v>
      </c>
      <c r="C91" s="19">
        <v>0</v>
      </c>
      <c r="D91" s="23"/>
      <c r="E91" s="19">
        <v>10717</v>
      </c>
      <c r="F91" s="23"/>
      <c r="G91" s="19">
        <v>57413</v>
      </c>
      <c r="H91" s="23"/>
      <c r="I91" s="19">
        <v>11525</v>
      </c>
      <c r="J91" s="19"/>
      <c r="K91" s="19">
        <f t="shared" si="2"/>
        <v>79655</v>
      </c>
      <c r="L91" s="19"/>
      <c r="M91" s="19">
        <v>57810</v>
      </c>
      <c r="N91" s="19"/>
      <c r="O91" s="19">
        <v>14726</v>
      </c>
      <c r="P91" s="19"/>
      <c r="Q91" s="19">
        <f>-1+7120</f>
        <v>7119</v>
      </c>
      <c r="R91" s="6"/>
    </row>
    <row r="92" spans="1:18" s="3" customFormat="1" ht="13.5" customHeight="1">
      <c r="A92" s="19" t="s">
        <v>36</v>
      </c>
      <c r="B92" s="20" t="s">
        <v>13</v>
      </c>
      <c r="C92" s="19">
        <v>0</v>
      </c>
      <c r="D92" s="23"/>
      <c r="E92" s="19">
        <v>0</v>
      </c>
      <c r="F92" s="23"/>
      <c r="G92" s="19">
        <v>25853</v>
      </c>
      <c r="H92" s="23"/>
      <c r="I92" s="19">
        <v>7312</v>
      </c>
      <c r="J92" s="19"/>
      <c r="K92" s="19">
        <f t="shared" si="2"/>
        <v>33165</v>
      </c>
      <c r="L92" s="19"/>
      <c r="M92" s="19">
        <v>25000</v>
      </c>
      <c r="N92" s="19"/>
      <c r="O92" s="19">
        <v>8165</v>
      </c>
      <c r="P92" s="19"/>
      <c r="Q92" s="19">
        <v>0</v>
      </c>
      <c r="R92" s="6"/>
    </row>
    <row r="93" spans="1:18" s="3" customFormat="1" ht="13.5" customHeight="1">
      <c r="A93" s="19" t="s">
        <v>31</v>
      </c>
      <c r="B93" s="20" t="s">
        <v>13</v>
      </c>
      <c r="C93" s="19">
        <v>0</v>
      </c>
      <c r="D93" s="23"/>
      <c r="E93" s="19">
        <v>50714</v>
      </c>
      <c r="F93" s="23"/>
      <c r="G93" s="19">
        <v>7687</v>
      </c>
      <c r="H93" s="23"/>
      <c r="I93" s="19">
        <v>159925</v>
      </c>
      <c r="J93" s="19"/>
      <c r="K93" s="19">
        <f t="shared" si="2"/>
        <v>218326</v>
      </c>
      <c r="L93" s="19"/>
      <c r="M93" s="19">
        <v>210214</v>
      </c>
      <c r="N93" s="19"/>
      <c r="O93" s="19">
        <v>4943</v>
      </c>
      <c r="P93" s="19"/>
      <c r="Q93" s="19">
        <f>-1+3170</f>
        <v>3169</v>
      </c>
      <c r="R93" s="6"/>
    </row>
    <row r="94" spans="1:18" s="3" customFormat="1" ht="13.5" customHeight="1">
      <c r="A94" s="19" t="s">
        <v>38</v>
      </c>
      <c r="B94" s="20" t="s">
        <v>13</v>
      </c>
      <c r="C94" s="19">
        <v>0</v>
      </c>
      <c r="D94" s="23"/>
      <c r="E94" s="19">
        <v>0</v>
      </c>
      <c r="F94" s="23"/>
      <c r="G94" s="19">
        <v>3250</v>
      </c>
      <c r="H94" s="23"/>
      <c r="I94" s="19">
        <v>3448</v>
      </c>
      <c r="J94" s="19"/>
      <c r="K94" s="19">
        <f t="shared" si="2"/>
        <v>6698</v>
      </c>
      <c r="L94" s="19"/>
      <c r="M94" s="19">
        <v>5000</v>
      </c>
      <c r="N94" s="19"/>
      <c r="O94" s="19">
        <v>1698</v>
      </c>
      <c r="P94" s="19"/>
      <c r="Q94" s="19">
        <v>0</v>
      </c>
      <c r="R94" s="6"/>
    </row>
    <row r="95" spans="1:18" s="3" customFormat="1" ht="13.5" customHeight="1">
      <c r="A95" s="19" t="s">
        <v>205</v>
      </c>
      <c r="B95" s="20" t="s">
        <v>13</v>
      </c>
      <c r="C95" s="19">
        <v>0</v>
      </c>
      <c r="D95" s="23"/>
      <c r="E95" s="19">
        <v>0</v>
      </c>
      <c r="F95" s="23"/>
      <c r="G95" s="19">
        <v>15802</v>
      </c>
      <c r="H95" s="23"/>
      <c r="I95" s="19">
        <v>0</v>
      </c>
      <c r="J95" s="19"/>
      <c r="K95" s="19">
        <f t="shared" si="2"/>
        <v>15802</v>
      </c>
      <c r="L95" s="19"/>
      <c r="M95" s="19">
        <v>12400</v>
      </c>
      <c r="N95" s="19"/>
      <c r="O95" s="19">
        <v>3402</v>
      </c>
      <c r="P95" s="19"/>
      <c r="Q95" s="19">
        <v>0</v>
      </c>
      <c r="R95" s="6"/>
    </row>
    <row r="96" spans="1:18" s="3" customFormat="1" ht="13.5" customHeight="1">
      <c r="A96" s="19" t="s">
        <v>206</v>
      </c>
      <c r="B96" s="20"/>
      <c r="C96" s="19">
        <v>193720</v>
      </c>
      <c r="D96" s="23"/>
      <c r="E96" s="19">
        <v>0</v>
      </c>
      <c r="F96" s="23"/>
      <c r="G96" s="19">
        <v>145639</v>
      </c>
      <c r="H96" s="23"/>
      <c r="I96" s="19">
        <v>16666</v>
      </c>
      <c r="J96" s="19"/>
      <c r="K96" s="19">
        <f t="shared" si="2"/>
        <v>356025</v>
      </c>
      <c r="L96" s="19"/>
      <c r="M96" s="24">
        <v>349992</v>
      </c>
      <c r="N96" s="19"/>
      <c r="O96" s="24">
        <f>1+6032</f>
        <v>6033</v>
      </c>
      <c r="P96" s="19"/>
      <c r="Q96" s="24">
        <v>0</v>
      </c>
      <c r="R96" s="6"/>
    </row>
    <row r="97" spans="1:18" s="3" customFormat="1" ht="13.5" customHeight="1">
      <c r="A97" s="19" t="s">
        <v>233</v>
      </c>
      <c r="B97" s="20" t="s">
        <v>13</v>
      </c>
      <c r="C97" s="22">
        <f>SUM(C86:C96)</f>
        <v>277652</v>
      </c>
      <c r="D97" s="23"/>
      <c r="E97" s="22">
        <f>SUM(E86:E96)</f>
        <v>61431</v>
      </c>
      <c r="F97" s="23"/>
      <c r="G97" s="22">
        <f>SUM(G86:G96)</f>
        <v>323414</v>
      </c>
      <c r="H97" s="23"/>
      <c r="I97" s="22">
        <f>SUM(I86:I96)</f>
        <v>229585</v>
      </c>
      <c r="J97" s="19"/>
      <c r="K97" s="22">
        <f>IF(SUM(C97:I97)=SUM(M97:Q97),SUM(C97:I97),SUM(M97:Q97)-SUM(C97:I97))</f>
        <v>892082</v>
      </c>
      <c r="L97" s="19"/>
      <c r="M97" s="22">
        <f>SUM(M86:M96)</f>
        <v>801300</v>
      </c>
      <c r="N97" s="19"/>
      <c r="O97" s="22">
        <f>SUM(O86:O96)</f>
        <v>80494</v>
      </c>
      <c r="P97" s="19"/>
      <c r="Q97" s="22">
        <f>SUM(Q86:Q96)</f>
        <v>10288</v>
      </c>
      <c r="R97" s="6"/>
    </row>
    <row r="98" spans="1:18" s="3" customFormat="1" ht="13.5" customHeight="1">
      <c r="A98" s="19"/>
      <c r="B98" s="20"/>
      <c r="C98" s="23"/>
      <c r="D98" s="23"/>
      <c r="E98" s="23"/>
      <c r="F98" s="23"/>
      <c r="G98" s="23"/>
      <c r="H98" s="23"/>
      <c r="I98" s="23"/>
      <c r="J98" s="19"/>
      <c r="K98" s="23"/>
      <c r="L98" s="19"/>
      <c r="M98" s="23"/>
      <c r="N98" s="19"/>
      <c r="O98" s="23"/>
      <c r="P98" s="19"/>
      <c r="Q98" s="23"/>
      <c r="R98" s="6"/>
    </row>
    <row r="99" spans="1:18" s="3" customFormat="1" ht="13.5" customHeight="1">
      <c r="A99" s="19" t="s">
        <v>270</v>
      </c>
      <c r="B99" s="20" t="s">
        <v>13</v>
      </c>
      <c r="C99" s="19" t="s">
        <v>13</v>
      </c>
      <c r="D99" s="23"/>
      <c r="E99" s="19" t="s">
        <v>13</v>
      </c>
      <c r="F99" s="23"/>
      <c r="G99" s="19" t="s">
        <v>13</v>
      </c>
      <c r="H99" s="23"/>
      <c r="I99" s="19" t="s">
        <v>13</v>
      </c>
      <c r="J99" s="19"/>
      <c r="K99" s="19"/>
      <c r="L99" s="19"/>
      <c r="M99" s="19" t="s">
        <v>13</v>
      </c>
      <c r="N99" s="19"/>
      <c r="O99" s="19" t="s">
        <v>13</v>
      </c>
      <c r="P99" s="19"/>
      <c r="Q99" s="19" t="s">
        <v>13</v>
      </c>
      <c r="R99" s="6"/>
    </row>
    <row r="100" spans="1:18" s="3" customFormat="1" ht="13.5" customHeight="1">
      <c r="A100" s="19" t="s">
        <v>98</v>
      </c>
      <c r="B100" s="20" t="s">
        <v>13</v>
      </c>
      <c r="C100" s="19">
        <v>96498</v>
      </c>
      <c r="D100" s="23"/>
      <c r="E100" s="19">
        <v>119960</v>
      </c>
      <c r="F100" s="23"/>
      <c r="G100" s="19">
        <v>37256</v>
      </c>
      <c r="H100" s="23"/>
      <c r="I100" s="19">
        <v>286194</v>
      </c>
      <c r="J100" s="19"/>
      <c r="K100" s="19">
        <f aca="true" t="shared" si="3" ref="K100:K107">IF(SUM(C100:I100)=SUM(M100:Q100),SUM(C100:I100),SUM(M100:Q100)-SUM(C100:I100))</f>
        <v>539908</v>
      </c>
      <c r="L100" s="19"/>
      <c r="M100" s="19">
        <v>143350</v>
      </c>
      <c r="N100" s="19"/>
      <c r="O100" s="19">
        <v>377551</v>
      </c>
      <c r="P100" s="19"/>
      <c r="Q100" s="19">
        <f>1+19006</f>
        <v>19007</v>
      </c>
      <c r="R100" s="6"/>
    </row>
    <row r="101" spans="1:18" s="3" customFormat="1" ht="13.5" customHeight="1">
      <c r="A101" s="19" t="s">
        <v>188</v>
      </c>
      <c r="B101" s="20"/>
      <c r="C101" s="19">
        <v>8470</v>
      </c>
      <c r="D101" s="23"/>
      <c r="E101" s="19">
        <v>0</v>
      </c>
      <c r="F101" s="23"/>
      <c r="G101" s="19">
        <v>9920</v>
      </c>
      <c r="H101" s="23"/>
      <c r="I101" s="19">
        <v>2480</v>
      </c>
      <c r="J101" s="19"/>
      <c r="K101" s="19">
        <f t="shared" si="3"/>
        <v>20870</v>
      </c>
      <c r="L101" s="19"/>
      <c r="M101" s="19">
        <v>13252</v>
      </c>
      <c r="N101" s="19"/>
      <c r="O101" s="19">
        <v>7618</v>
      </c>
      <c r="P101" s="19"/>
      <c r="Q101" s="19">
        <v>0</v>
      </c>
      <c r="R101" s="6"/>
    </row>
    <row r="102" spans="1:18" s="3" customFormat="1" ht="13.5" customHeight="1">
      <c r="A102" s="19" t="s">
        <v>31</v>
      </c>
      <c r="B102" s="20" t="s">
        <v>13</v>
      </c>
      <c r="C102" s="19">
        <v>258878</v>
      </c>
      <c r="D102" s="23"/>
      <c r="E102" s="19">
        <v>87178</v>
      </c>
      <c r="F102" s="23"/>
      <c r="G102" s="19">
        <v>179969</v>
      </c>
      <c r="H102" s="23"/>
      <c r="I102" s="19">
        <v>185567</v>
      </c>
      <c r="J102" s="19"/>
      <c r="K102" s="19">
        <f t="shared" si="3"/>
        <v>711592</v>
      </c>
      <c r="L102" s="19"/>
      <c r="M102" s="19">
        <v>398669</v>
      </c>
      <c r="N102" s="19"/>
      <c r="O102" s="19">
        <v>287130</v>
      </c>
      <c r="P102" s="19"/>
      <c r="Q102" s="19">
        <f>1+25792</f>
        <v>25793</v>
      </c>
      <c r="R102" s="6"/>
    </row>
    <row r="103" spans="1:18" s="3" customFormat="1" ht="13.5" customHeight="1">
      <c r="A103" s="19" t="s">
        <v>54</v>
      </c>
      <c r="B103" s="20" t="s">
        <v>13</v>
      </c>
      <c r="C103" s="19">
        <v>0</v>
      </c>
      <c r="D103" s="23"/>
      <c r="E103" s="19">
        <v>0</v>
      </c>
      <c r="F103" s="23"/>
      <c r="G103" s="19">
        <v>12909</v>
      </c>
      <c r="H103" s="23"/>
      <c r="I103" s="19">
        <v>17044</v>
      </c>
      <c r="J103" s="19"/>
      <c r="K103" s="23">
        <f t="shared" si="3"/>
        <v>29953</v>
      </c>
      <c r="L103" s="19"/>
      <c r="M103" s="19">
        <v>5000</v>
      </c>
      <c r="N103" s="19"/>
      <c r="O103" s="19">
        <v>24953</v>
      </c>
      <c r="P103" s="19"/>
      <c r="Q103" s="19">
        <v>0</v>
      </c>
      <c r="R103" s="6"/>
    </row>
    <row r="104" spans="1:18" s="3" customFormat="1" ht="13.5" customHeight="1">
      <c r="A104" s="19" t="s">
        <v>313</v>
      </c>
      <c r="B104" s="20"/>
      <c r="C104" s="19">
        <v>0</v>
      </c>
      <c r="D104" s="23"/>
      <c r="E104" s="19">
        <v>0</v>
      </c>
      <c r="F104" s="23"/>
      <c r="G104" s="19">
        <v>622</v>
      </c>
      <c r="H104" s="23"/>
      <c r="I104" s="19">
        <v>0</v>
      </c>
      <c r="J104" s="19"/>
      <c r="K104" s="23">
        <f t="shared" si="3"/>
        <v>622</v>
      </c>
      <c r="L104" s="19"/>
      <c r="M104" s="19">
        <v>0</v>
      </c>
      <c r="N104" s="19"/>
      <c r="O104" s="19">
        <v>622</v>
      </c>
      <c r="P104" s="19"/>
      <c r="Q104" s="19">
        <v>0</v>
      </c>
      <c r="R104" s="6"/>
    </row>
    <row r="105" spans="1:18" s="3" customFormat="1" ht="13.5" customHeight="1">
      <c r="A105" s="19" t="s">
        <v>271</v>
      </c>
      <c r="B105" s="20"/>
      <c r="C105" s="23">
        <v>0</v>
      </c>
      <c r="D105" s="23"/>
      <c r="E105" s="23">
        <v>0</v>
      </c>
      <c r="F105" s="23"/>
      <c r="G105" s="23">
        <v>1386</v>
      </c>
      <c r="H105" s="23"/>
      <c r="I105" s="23">
        <v>0</v>
      </c>
      <c r="J105" s="19"/>
      <c r="K105" s="23">
        <f t="shared" si="3"/>
        <v>1386</v>
      </c>
      <c r="L105" s="19"/>
      <c r="M105" s="23">
        <v>0</v>
      </c>
      <c r="N105" s="19"/>
      <c r="O105" s="23">
        <v>1386</v>
      </c>
      <c r="P105" s="19"/>
      <c r="Q105" s="23">
        <v>0</v>
      </c>
      <c r="R105" s="6"/>
    </row>
    <row r="106" spans="1:18" s="3" customFormat="1" ht="13.5" customHeight="1">
      <c r="A106" s="19" t="s">
        <v>226</v>
      </c>
      <c r="B106" s="20"/>
      <c r="C106" s="23">
        <v>85799</v>
      </c>
      <c r="D106" s="23"/>
      <c r="E106" s="23">
        <v>118863</v>
      </c>
      <c r="F106" s="23"/>
      <c r="G106" s="23">
        <v>16082</v>
      </c>
      <c r="H106" s="23"/>
      <c r="I106" s="23">
        <v>72230</v>
      </c>
      <c r="J106" s="19"/>
      <c r="K106" s="23">
        <f t="shared" si="3"/>
        <v>292974</v>
      </c>
      <c r="L106" s="19"/>
      <c r="M106" s="24">
        <v>165043</v>
      </c>
      <c r="N106" s="19"/>
      <c r="O106" s="24">
        <v>113847</v>
      </c>
      <c r="P106" s="19"/>
      <c r="Q106" s="24">
        <f>1+14083</f>
        <v>14084</v>
      </c>
      <c r="R106" s="6"/>
    </row>
    <row r="107" spans="1:18" s="3" customFormat="1" ht="13.5" customHeight="1">
      <c r="A107" s="19" t="s">
        <v>272</v>
      </c>
      <c r="B107" s="20" t="s">
        <v>13</v>
      </c>
      <c r="C107" s="34">
        <f>SUM(C100:C106)</f>
        <v>449645</v>
      </c>
      <c r="D107" s="23"/>
      <c r="E107" s="34">
        <f>SUM(E100:E106)</f>
        <v>326001</v>
      </c>
      <c r="F107" s="23"/>
      <c r="G107" s="34">
        <f>SUM(G100:G106)</f>
        <v>258144</v>
      </c>
      <c r="H107" s="23"/>
      <c r="I107" s="34">
        <f>SUM(I100:I106)</f>
        <v>563515</v>
      </c>
      <c r="J107" s="19"/>
      <c r="K107" s="34">
        <f t="shared" si="3"/>
        <v>1597305</v>
      </c>
      <c r="L107" s="19"/>
      <c r="M107" s="34">
        <f>SUM(M100:M106)</f>
        <v>725314</v>
      </c>
      <c r="N107" s="19"/>
      <c r="O107" s="34">
        <f>SUM(O100:O106)</f>
        <v>813107</v>
      </c>
      <c r="P107" s="19"/>
      <c r="Q107" s="34">
        <f>SUM(Q100:Q106)</f>
        <v>58884</v>
      </c>
      <c r="R107" s="6"/>
    </row>
    <row r="108" spans="1:18" s="3" customFormat="1" ht="13.5" customHeight="1">
      <c r="A108" s="19"/>
      <c r="B108" s="20" t="s">
        <v>13</v>
      </c>
      <c r="C108" s="19"/>
      <c r="D108" s="23"/>
      <c r="E108" s="19"/>
      <c r="F108" s="23"/>
      <c r="G108" s="19"/>
      <c r="H108" s="23"/>
      <c r="I108" s="19"/>
      <c r="J108" s="19"/>
      <c r="K108" s="19"/>
      <c r="L108" s="19"/>
      <c r="M108" s="19"/>
      <c r="N108" s="19"/>
      <c r="O108" s="19"/>
      <c r="P108" s="19"/>
      <c r="Q108" s="19"/>
      <c r="R108" s="6"/>
    </row>
    <row r="109" spans="1:18" s="3" customFormat="1" ht="13.5" customHeight="1">
      <c r="A109" s="19" t="s">
        <v>254</v>
      </c>
      <c r="B109" s="20"/>
      <c r="C109" s="24">
        <v>0</v>
      </c>
      <c r="D109" s="23"/>
      <c r="E109" s="24">
        <v>992</v>
      </c>
      <c r="F109" s="23"/>
      <c r="G109" s="24">
        <v>0</v>
      </c>
      <c r="H109" s="23"/>
      <c r="I109" s="24">
        <v>0</v>
      </c>
      <c r="J109" s="19"/>
      <c r="K109" s="21">
        <f>IF(SUM(C109:I109)=SUM(M109:Q109),SUM(C109:I109),SUM(M109:Q109)-SUM(C109:I109))</f>
        <v>992</v>
      </c>
      <c r="L109" s="19"/>
      <c r="M109" s="24">
        <v>0</v>
      </c>
      <c r="N109" s="19"/>
      <c r="O109" s="24">
        <v>902</v>
      </c>
      <c r="P109" s="19"/>
      <c r="Q109" s="24">
        <v>90</v>
      </c>
      <c r="R109" s="6"/>
    </row>
    <row r="110" spans="1:18" s="3" customFormat="1" ht="13.5" customHeight="1">
      <c r="A110" s="19"/>
      <c r="B110" s="20" t="s">
        <v>13</v>
      </c>
      <c r="C110" s="19"/>
      <c r="D110" s="23"/>
      <c r="E110" s="19"/>
      <c r="F110" s="23"/>
      <c r="G110" s="19"/>
      <c r="H110" s="23"/>
      <c r="I110" s="19"/>
      <c r="J110" s="19"/>
      <c r="K110" s="19"/>
      <c r="L110" s="19"/>
      <c r="M110" s="19"/>
      <c r="N110" s="19"/>
      <c r="O110" s="19"/>
      <c r="P110" s="19"/>
      <c r="Q110" s="19"/>
      <c r="R110" s="6"/>
    </row>
    <row r="111" spans="1:18" s="3" customFormat="1" ht="13.5" customHeight="1">
      <c r="A111" s="19" t="s">
        <v>314</v>
      </c>
      <c r="B111" s="20" t="s">
        <v>13</v>
      </c>
      <c r="C111" s="21">
        <v>0</v>
      </c>
      <c r="D111" s="23"/>
      <c r="E111" s="21">
        <v>0</v>
      </c>
      <c r="F111" s="23"/>
      <c r="G111" s="21">
        <v>0</v>
      </c>
      <c r="H111" s="23"/>
      <c r="I111" s="21">
        <v>437</v>
      </c>
      <c r="J111" s="19"/>
      <c r="K111" s="21">
        <f>IF(SUM(C111:I111)=SUM(M111:Q111),SUM(C111:I111),SUM(M111:Q111)-SUM(C111:I111))</f>
        <v>437</v>
      </c>
      <c r="L111" s="19"/>
      <c r="M111" s="24">
        <v>0</v>
      </c>
      <c r="N111" s="19"/>
      <c r="O111" s="24">
        <v>437</v>
      </c>
      <c r="P111" s="19"/>
      <c r="Q111" s="24">
        <v>0</v>
      </c>
      <c r="R111" s="6"/>
    </row>
    <row r="112" spans="1:18" s="3" customFormat="1" ht="13.5" customHeight="1">
      <c r="A112" s="19"/>
      <c r="B112" s="20"/>
      <c r="C112" s="23"/>
      <c r="D112" s="23"/>
      <c r="E112" s="23"/>
      <c r="F112" s="23"/>
      <c r="G112" s="23"/>
      <c r="H112" s="23"/>
      <c r="I112" s="23"/>
      <c r="J112" s="19"/>
      <c r="K112" s="23"/>
      <c r="L112" s="19"/>
      <c r="M112" s="23"/>
      <c r="N112" s="19"/>
      <c r="O112" s="23"/>
      <c r="P112" s="19"/>
      <c r="Q112" s="23"/>
      <c r="R112" s="6"/>
    </row>
    <row r="113" spans="1:18" s="3" customFormat="1" ht="13.5" customHeight="1">
      <c r="A113" s="19" t="s">
        <v>315</v>
      </c>
      <c r="B113" s="20" t="s">
        <v>13</v>
      </c>
      <c r="C113" s="21">
        <v>0</v>
      </c>
      <c r="D113" s="23"/>
      <c r="E113" s="21">
        <v>0</v>
      </c>
      <c r="F113" s="23"/>
      <c r="G113" s="21">
        <v>0</v>
      </c>
      <c r="H113" s="23"/>
      <c r="I113" s="21">
        <v>197240</v>
      </c>
      <c r="J113" s="19"/>
      <c r="K113" s="21">
        <f>IF(SUM(C113:I113)=SUM(M113:Q113),SUM(C113:I113),SUM(M113:Q113)-SUM(C113:I113))</f>
        <v>197240</v>
      </c>
      <c r="L113" s="19"/>
      <c r="M113" s="24">
        <v>60350</v>
      </c>
      <c r="N113" s="19"/>
      <c r="O113" s="24">
        <v>136890</v>
      </c>
      <c r="P113" s="19"/>
      <c r="Q113" s="24">
        <v>0</v>
      </c>
      <c r="R113" s="6"/>
    </row>
    <row r="114" spans="1:18" s="3" customFormat="1" ht="13.5" customHeight="1">
      <c r="A114" s="19"/>
      <c r="B114" s="20"/>
      <c r="C114" s="19"/>
      <c r="D114" s="23"/>
      <c r="E114" s="19"/>
      <c r="F114" s="23"/>
      <c r="G114" s="19"/>
      <c r="H114" s="23"/>
      <c r="I114" s="19"/>
      <c r="J114" s="19"/>
      <c r="K114" s="19"/>
      <c r="L114" s="19"/>
      <c r="M114" s="19"/>
      <c r="N114" s="19"/>
      <c r="O114" s="19"/>
      <c r="P114" s="19"/>
      <c r="Q114" s="19"/>
      <c r="R114" s="6"/>
    </row>
    <row r="115" spans="1:18" s="3" customFormat="1" ht="13.5" customHeight="1">
      <c r="A115" s="19" t="s">
        <v>61</v>
      </c>
      <c r="B115" s="20" t="s">
        <v>13</v>
      </c>
      <c r="C115" s="21">
        <v>0</v>
      </c>
      <c r="D115" s="23"/>
      <c r="E115" s="21">
        <v>9379</v>
      </c>
      <c r="F115" s="23"/>
      <c r="G115" s="21">
        <v>102776</v>
      </c>
      <c r="H115" s="23"/>
      <c r="I115" s="21">
        <v>173290</v>
      </c>
      <c r="J115" s="19"/>
      <c r="K115" s="21">
        <f>IF(SUM(C115:I115)=SUM(M115:Q115),SUM(C115:I115),SUM(M115:Q115)-SUM(C115:I115))</f>
        <v>285445</v>
      </c>
      <c r="L115" s="19"/>
      <c r="M115" s="24">
        <v>252788</v>
      </c>
      <c r="N115" s="19"/>
      <c r="O115" s="24">
        <v>32072</v>
      </c>
      <c r="P115" s="19"/>
      <c r="Q115" s="24">
        <f>-1+586</f>
        <v>585</v>
      </c>
      <c r="R115" s="6"/>
    </row>
    <row r="116" spans="1:18" s="3" customFormat="1" ht="13.5" customHeight="1">
      <c r="A116" s="19"/>
      <c r="B116" s="20" t="s">
        <v>13</v>
      </c>
      <c r="C116" s="19"/>
      <c r="D116" s="23"/>
      <c r="E116" s="19"/>
      <c r="F116" s="23"/>
      <c r="G116" s="19"/>
      <c r="H116" s="23"/>
      <c r="I116" s="19"/>
      <c r="J116" s="19"/>
      <c r="K116" s="19"/>
      <c r="L116" s="19"/>
      <c r="M116" s="19"/>
      <c r="N116" s="19"/>
      <c r="O116" s="19"/>
      <c r="P116" s="19"/>
      <c r="Q116" s="19"/>
      <c r="R116" s="6"/>
    </row>
    <row r="117" spans="1:18" s="3" customFormat="1" ht="13.5" customHeight="1">
      <c r="A117" s="19" t="s">
        <v>17</v>
      </c>
      <c r="B117" s="20" t="s">
        <v>13</v>
      </c>
      <c r="C117" s="19"/>
      <c r="D117" s="23"/>
      <c r="E117" s="19"/>
      <c r="F117" s="23"/>
      <c r="G117" s="19"/>
      <c r="H117" s="23"/>
      <c r="I117" s="19"/>
      <c r="J117" s="19"/>
      <c r="K117" s="19"/>
      <c r="L117" s="19"/>
      <c r="M117" s="19"/>
      <c r="N117" s="19"/>
      <c r="O117" s="19"/>
      <c r="P117" s="19"/>
      <c r="Q117" s="19"/>
      <c r="R117" s="6"/>
    </row>
    <row r="118" spans="1:18" s="3" customFormat="1" ht="13.5" customHeight="1">
      <c r="A118" s="19" t="s">
        <v>62</v>
      </c>
      <c r="B118" s="20" t="s">
        <v>13</v>
      </c>
      <c r="C118" s="19">
        <v>0</v>
      </c>
      <c r="D118" s="23"/>
      <c r="E118" s="19">
        <v>0</v>
      </c>
      <c r="F118" s="23"/>
      <c r="G118" s="19">
        <v>89875</v>
      </c>
      <c r="H118" s="23"/>
      <c r="I118" s="19">
        <v>6350</v>
      </c>
      <c r="J118" s="19"/>
      <c r="K118" s="19">
        <f aca="true" t="shared" si="4" ref="K118:K123">IF(SUM(C118:I118)=SUM(M118:Q118),SUM(C118:I118),SUM(M118:Q118)-SUM(C118:I118))</f>
        <v>96225</v>
      </c>
      <c r="L118" s="19"/>
      <c r="M118" s="19">
        <v>28277</v>
      </c>
      <c r="N118" s="19"/>
      <c r="O118" s="19">
        <f>-1+67949</f>
        <v>67948</v>
      </c>
      <c r="P118" s="19"/>
      <c r="Q118" s="19">
        <v>0</v>
      </c>
      <c r="R118" s="6"/>
    </row>
    <row r="119" spans="1:18" s="3" customFormat="1" ht="13.5" customHeight="1">
      <c r="A119" s="19" t="s">
        <v>63</v>
      </c>
      <c r="B119" s="20" t="s">
        <v>13</v>
      </c>
      <c r="C119" s="19">
        <v>0</v>
      </c>
      <c r="D119" s="23"/>
      <c r="E119" s="19">
        <v>0</v>
      </c>
      <c r="F119" s="23"/>
      <c r="G119" s="19">
        <v>1201</v>
      </c>
      <c r="H119" s="23"/>
      <c r="I119" s="19">
        <v>29450</v>
      </c>
      <c r="J119" s="19"/>
      <c r="K119" s="19">
        <f t="shared" si="4"/>
        <v>30651</v>
      </c>
      <c r="L119" s="19"/>
      <c r="M119" s="19">
        <v>8708</v>
      </c>
      <c r="N119" s="19"/>
      <c r="O119" s="19">
        <v>21943</v>
      </c>
      <c r="P119" s="19"/>
      <c r="Q119" s="19">
        <v>0</v>
      </c>
      <c r="R119" s="6"/>
    </row>
    <row r="120" spans="1:18" s="3" customFormat="1" ht="13.5" customHeight="1">
      <c r="A120" s="19" t="s">
        <v>31</v>
      </c>
      <c r="B120" s="20" t="s">
        <v>13</v>
      </c>
      <c r="C120" s="19">
        <v>0</v>
      </c>
      <c r="D120" s="23"/>
      <c r="E120" s="19">
        <v>12965</v>
      </c>
      <c r="F120" s="23"/>
      <c r="G120" s="19">
        <v>8090</v>
      </c>
      <c r="H120" s="23"/>
      <c r="I120" s="19">
        <v>734</v>
      </c>
      <c r="J120" s="19"/>
      <c r="K120" s="19">
        <f t="shared" si="4"/>
        <v>21789</v>
      </c>
      <c r="L120" s="19"/>
      <c r="M120" s="19">
        <v>14837</v>
      </c>
      <c r="N120" s="19"/>
      <c r="O120" s="19">
        <v>6141</v>
      </c>
      <c r="P120" s="19"/>
      <c r="Q120" s="19">
        <f>1+810</f>
        <v>811</v>
      </c>
      <c r="R120" s="6"/>
    </row>
    <row r="121" spans="1:18" s="3" customFormat="1" ht="13.5" customHeight="1">
      <c r="A121" s="19" t="s">
        <v>196</v>
      </c>
      <c r="B121" s="20" t="s">
        <v>13</v>
      </c>
      <c r="C121" s="19">
        <v>0</v>
      </c>
      <c r="D121" s="23"/>
      <c r="E121" s="19">
        <v>0</v>
      </c>
      <c r="F121" s="23"/>
      <c r="G121" s="19">
        <v>131667</v>
      </c>
      <c r="H121" s="23"/>
      <c r="I121" s="19">
        <v>176239</v>
      </c>
      <c r="J121" s="19"/>
      <c r="K121" s="19">
        <f t="shared" si="4"/>
        <v>307906</v>
      </c>
      <c r="L121" s="19"/>
      <c r="M121" s="19">
        <v>113679</v>
      </c>
      <c r="N121" s="19"/>
      <c r="O121" s="19">
        <v>194227</v>
      </c>
      <c r="P121" s="19"/>
      <c r="Q121" s="19">
        <v>0</v>
      </c>
      <c r="R121" s="6"/>
    </row>
    <row r="122" spans="1:18" s="3" customFormat="1" ht="13.5" customHeight="1">
      <c r="A122" s="19" t="s">
        <v>173</v>
      </c>
      <c r="B122" s="20" t="s">
        <v>13</v>
      </c>
      <c r="C122" s="19">
        <v>0</v>
      </c>
      <c r="D122" s="23"/>
      <c r="E122" s="19">
        <v>0</v>
      </c>
      <c r="F122" s="23"/>
      <c r="G122" s="19">
        <v>5163</v>
      </c>
      <c r="H122" s="23"/>
      <c r="I122" s="19">
        <v>40307</v>
      </c>
      <c r="J122" s="19"/>
      <c r="K122" s="19">
        <f t="shared" si="4"/>
        <v>45470</v>
      </c>
      <c r="L122" s="19"/>
      <c r="M122" s="24">
        <v>8508</v>
      </c>
      <c r="N122" s="19"/>
      <c r="O122" s="24">
        <f>-1+36963</f>
        <v>36962</v>
      </c>
      <c r="P122" s="19"/>
      <c r="Q122" s="24">
        <v>0</v>
      </c>
      <c r="R122" s="6"/>
    </row>
    <row r="123" spans="1:18" s="3" customFormat="1" ht="13.5" customHeight="1">
      <c r="A123" s="19" t="s">
        <v>123</v>
      </c>
      <c r="B123" s="20" t="s">
        <v>13</v>
      </c>
      <c r="C123" s="34">
        <f>SUM(C118:C122)</f>
        <v>0</v>
      </c>
      <c r="D123" s="23"/>
      <c r="E123" s="34">
        <f>SUM(E118:E122)</f>
        <v>12965</v>
      </c>
      <c r="F123" s="23"/>
      <c r="G123" s="34">
        <f>SUM(G118:G122)</f>
        <v>235996</v>
      </c>
      <c r="H123" s="23"/>
      <c r="I123" s="34">
        <f>SUM(I118:I122)</f>
        <v>253080</v>
      </c>
      <c r="J123" s="19"/>
      <c r="K123" s="22">
        <f t="shared" si="4"/>
        <v>502041</v>
      </c>
      <c r="L123" s="19"/>
      <c r="M123" s="21">
        <f>SUM(M118:M122)</f>
        <v>174009</v>
      </c>
      <c r="N123" s="19"/>
      <c r="O123" s="21">
        <f>SUM(O118:O122)</f>
        <v>327221</v>
      </c>
      <c r="P123" s="19"/>
      <c r="Q123" s="21">
        <f>SUM(Q118:Q122)</f>
        <v>811</v>
      </c>
      <c r="R123" s="6"/>
    </row>
    <row r="124" spans="1:18" s="3" customFormat="1" ht="13.5" customHeight="1">
      <c r="A124" s="19"/>
      <c r="B124" s="20" t="s">
        <v>13</v>
      </c>
      <c r="C124" s="19"/>
      <c r="D124" s="23"/>
      <c r="E124" s="19"/>
      <c r="F124" s="23"/>
      <c r="G124" s="19"/>
      <c r="H124" s="23"/>
      <c r="I124" s="19"/>
      <c r="J124" s="19"/>
      <c r="K124" s="19"/>
      <c r="L124" s="19"/>
      <c r="M124" s="19"/>
      <c r="N124" s="19"/>
      <c r="O124" s="19"/>
      <c r="P124" s="19"/>
      <c r="Q124" s="19"/>
      <c r="R124" s="6"/>
    </row>
    <row r="125" spans="1:18" s="3" customFormat="1" ht="13.5" customHeight="1">
      <c r="A125" s="19" t="s">
        <v>234</v>
      </c>
      <c r="B125" s="23"/>
      <c r="C125" s="19" t="s">
        <v>13</v>
      </c>
      <c r="D125" s="23"/>
      <c r="E125" s="19" t="s">
        <v>13</v>
      </c>
      <c r="F125" s="23"/>
      <c r="G125" s="19" t="s">
        <v>13</v>
      </c>
      <c r="H125" s="23"/>
      <c r="I125" s="19" t="s">
        <v>13</v>
      </c>
      <c r="J125" s="19"/>
      <c r="K125" s="19"/>
      <c r="L125" s="19"/>
      <c r="M125" s="19" t="s">
        <v>13</v>
      </c>
      <c r="N125" s="19"/>
      <c r="O125" s="19" t="s">
        <v>13</v>
      </c>
      <c r="P125" s="19"/>
      <c r="Q125" s="19" t="s">
        <v>13</v>
      </c>
      <c r="R125" s="6"/>
    </row>
    <row r="126" spans="1:18" s="3" customFormat="1" ht="13.5" customHeight="1">
      <c r="A126" s="19" t="s">
        <v>41</v>
      </c>
      <c r="B126" s="20" t="s">
        <v>13</v>
      </c>
      <c r="C126" s="19">
        <v>4883</v>
      </c>
      <c r="D126" s="23"/>
      <c r="E126" s="19">
        <v>0</v>
      </c>
      <c r="F126" s="23"/>
      <c r="G126" s="19">
        <v>167464</v>
      </c>
      <c r="H126" s="23"/>
      <c r="I126" s="19">
        <v>215739</v>
      </c>
      <c r="J126" s="19"/>
      <c r="K126" s="19">
        <f aca="true" t="shared" si="5" ref="K126:K133">IF(SUM(C126:I126)=SUM(M126:Q126),SUM(C126:I126),SUM(M126:Q126)-SUM(C126:I126))</f>
        <v>388086</v>
      </c>
      <c r="L126" s="19"/>
      <c r="M126" s="19">
        <v>101776</v>
      </c>
      <c r="N126" s="19"/>
      <c r="O126" s="19">
        <v>286310</v>
      </c>
      <c r="P126" s="19"/>
      <c r="Q126" s="19">
        <v>0</v>
      </c>
      <c r="R126" s="6"/>
    </row>
    <row r="127" spans="1:18" s="3" customFormat="1" ht="13.5" customHeight="1">
      <c r="A127" s="19" t="s">
        <v>42</v>
      </c>
      <c r="B127" s="20" t="s">
        <v>13</v>
      </c>
      <c r="C127" s="19">
        <v>58930</v>
      </c>
      <c r="D127" s="23"/>
      <c r="E127" s="19">
        <v>0</v>
      </c>
      <c r="F127" s="23"/>
      <c r="G127" s="19">
        <v>26380</v>
      </c>
      <c r="H127" s="23"/>
      <c r="I127" s="19">
        <v>8100</v>
      </c>
      <c r="J127" s="19"/>
      <c r="K127" s="19">
        <f t="shared" si="5"/>
        <v>93410</v>
      </c>
      <c r="L127" s="19"/>
      <c r="M127" s="19">
        <v>91224</v>
      </c>
      <c r="N127" s="19"/>
      <c r="O127" s="19">
        <v>2186</v>
      </c>
      <c r="P127" s="19"/>
      <c r="Q127" s="19">
        <v>0</v>
      </c>
      <c r="R127" s="6"/>
    </row>
    <row r="128" spans="1:18" s="3" customFormat="1" ht="13.5" customHeight="1">
      <c r="A128" s="19" t="s">
        <v>43</v>
      </c>
      <c r="B128" s="20"/>
      <c r="C128" s="19">
        <v>0</v>
      </c>
      <c r="D128" s="23"/>
      <c r="E128" s="19">
        <v>0</v>
      </c>
      <c r="F128" s="23"/>
      <c r="G128" s="19">
        <f>27500+654101</f>
        <v>681601</v>
      </c>
      <c r="H128" s="23"/>
      <c r="I128" s="19">
        <v>98088</v>
      </c>
      <c r="J128" s="19"/>
      <c r="K128" s="19">
        <f t="shared" si="5"/>
        <v>779689</v>
      </c>
      <c r="L128" s="19"/>
      <c r="M128" s="19">
        <f>27500+46606</f>
        <v>74106</v>
      </c>
      <c r="N128" s="19"/>
      <c r="O128" s="19">
        <v>705583</v>
      </c>
      <c r="P128" s="19"/>
      <c r="Q128" s="19">
        <v>0</v>
      </c>
      <c r="R128" s="6"/>
    </row>
    <row r="129" spans="1:18" s="3" customFormat="1" ht="13.5" customHeight="1">
      <c r="A129" s="19" t="s">
        <v>31</v>
      </c>
      <c r="B129" s="20" t="s">
        <v>13</v>
      </c>
      <c r="C129" s="19">
        <v>0</v>
      </c>
      <c r="D129" s="23"/>
      <c r="E129" s="19">
        <v>54272</v>
      </c>
      <c r="F129" s="23"/>
      <c r="G129" s="19">
        <v>28052</v>
      </c>
      <c r="H129" s="23"/>
      <c r="I129" s="19">
        <v>0</v>
      </c>
      <c r="J129" s="19"/>
      <c r="K129" s="19">
        <f t="shared" si="5"/>
        <v>82324</v>
      </c>
      <c r="L129" s="19"/>
      <c r="M129" s="19">
        <v>66545</v>
      </c>
      <c r="N129" s="19"/>
      <c r="O129" s="19">
        <v>12387</v>
      </c>
      <c r="P129" s="19"/>
      <c r="Q129" s="19">
        <v>3392</v>
      </c>
      <c r="R129" s="6"/>
    </row>
    <row r="130" spans="1:18" s="3" customFormat="1" ht="13.5" customHeight="1">
      <c r="A130" s="19" t="s">
        <v>37</v>
      </c>
      <c r="B130" s="20"/>
      <c r="C130" s="19">
        <v>170559</v>
      </c>
      <c r="D130" s="23"/>
      <c r="E130" s="19">
        <v>99174</v>
      </c>
      <c r="F130" s="23"/>
      <c r="G130" s="19">
        <v>30111</v>
      </c>
      <c r="H130" s="23"/>
      <c r="I130" s="19">
        <v>0</v>
      </c>
      <c r="J130" s="19"/>
      <c r="K130" s="19">
        <f t="shared" si="5"/>
        <v>299844</v>
      </c>
      <c r="L130" s="19"/>
      <c r="M130" s="19">
        <v>218253</v>
      </c>
      <c r="N130" s="19"/>
      <c r="O130" s="19">
        <v>56780</v>
      </c>
      <c r="P130" s="19"/>
      <c r="Q130" s="19">
        <v>24811</v>
      </c>
      <c r="R130" s="6"/>
    </row>
    <row r="131" spans="1:18" s="3" customFormat="1" ht="13.5" customHeight="1">
      <c r="A131" s="19" t="s">
        <v>207</v>
      </c>
      <c r="B131" s="20"/>
      <c r="C131" s="19">
        <v>0</v>
      </c>
      <c r="D131" s="23"/>
      <c r="E131" s="19">
        <v>0</v>
      </c>
      <c r="F131" s="23"/>
      <c r="G131" s="19">
        <v>9044</v>
      </c>
      <c r="H131" s="23"/>
      <c r="I131" s="19">
        <v>0</v>
      </c>
      <c r="J131" s="19"/>
      <c r="K131" s="19">
        <f t="shared" si="5"/>
        <v>9044</v>
      </c>
      <c r="L131" s="19"/>
      <c r="M131" s="19">
        <v>0</v>
      </c>
      <c r="N131" s="19"/>
      <c r="O131" s="19">
        <v>6699</v>
      </c>
      <c r="P131" s="19"/>
      <c r="Q131" s="19">
        <v>2345</v>
      </c>
      <c r="R131" s="6"/>
    </row>
    <row r="132" spans="1:18" s="3" customFormat="1" ht="13.5" customHeight="1">
      <c r="A132" s="19" t="s">
        <v>44</v>
      </c>
      <c r="B132" s="20" t="s">
        <v>13</v>
      </c>
      <c r="C132" s="19">
        <v>13864</v>
      </c>
      <c r="D132" s="23"/>
      <c r="E132" s="19">
        <v>0</v>
      </c>
      <c r="F132" s="23"/>
      <c r="G132" s="19">
        <v>19356</v>
      </c>
      <c r="H132" s="23"/>
      <c r="I132" s="19">
        <v>479</v>
      </c>
      <c r="J132" s="19"/>
      <c r="K132" s="21">
        <f t="shared" si="5"/>
        <v>33699</v>
      </c>
      <c r="L132" s="19"/>
      <c r="M132" s="24">
        <v>30795</v>
      </c>
      <c r="N132" s="19"/>
      <c r="O132" s="24">
        <v>1580</v>
      </c>
      <c r="P132" s="19"/>
      <c r="Q132" s="24">
        <v>1324</v>
      </c>
      <c r="R132" s="6"/>
    </row>
    <row r="133" spans="1:18" s="3" customFormat="1" ht="13.5" customHeight="1">
      <c r="A133" s="19" t="s">
        <v>235</v>
      </c>
      <c r="B133" s="20" t="s">
        <v>13</v>
      </c>
      <c r="C133" s="34">
        <f>SUM(C126:C132)</f>
        <v>248236</v>
      </c>
      <c r="D133" s="23"/>
      <c r="E133" s="34">
        <f>SUM(E126:E132)</f>
        <v>153446</v>
      </c>
      <c r="F133" s="23"/>
      <c r="G133" s="34">
        <f>SUM(G126:G132)</f>
        <v>962008</v>
      </c>
      <c r="H133" s="23"/>
      <c r="I133" s="34">
        <f>SUM(I126:I132)</f>
        <v>322406</v>
      </c>
      <c r="J133" s="19"/>
      <c r="K133" s="22">
        <f t="shared" si="5"/>
        <v>1686096</v>
      </c>
      <c r="L133" s="19"/>
      <c r="M133" s="21">
        <f>SUM(M126:M132)</f>
        <v>582699</v>
      </c>
      <c r="N133" s="19"/>
      <c r="O133" s="21">
        <f>SUM(O126:O132)</f>
        <v>1071525</v>
      </c>
      <c r="P133" s="19"/>
      <c r="Q133" s="21">
        <f>SUM(Q126:Q132)</f>
        <v>31872</v>
      </c>
      <c r="R133" s="6"/>
    </row>
    <row r="134" spans="1:18" s="3" customFormat="1" ht="13.5" customHeight="1">
      <c r="A134" s="19"/>
      <c r="B134" s="20" t="s">
        <v>13</v>
      </c>
      <c r="C134" s="19"/>
      <c r="D134" s="23"/>
      <c r="E134" s="19"/>
      <c r="F134" s="23"/>
      <c r="G134" s="19"/>
      <c r="H134" s="23"/>
      <c r="I134" s="19"/>
      <c r="J134" s="19"/>
      <c r="K134" s="19"/>
      <c r="L134" s="19"/>
      <c r="M134" s="19"/>
      <c r="N134" s="19"/>
      <c r="O134" s="19"/>
      <c r="P134" s="19"/>
      <c r="Q134" s="19"/>
      <c r="R134" s="6"/>
    </row>
    <row r="135" spans="1:18" s="3" customFormat="1" ht="13.5" customHeight="1">
      <c r="A135" s="19" t="s">
        <v>265</v>
      </c>
      <c r="B135" s="20"/>
      <c r="C135" s="19"/>
      <c r="D135" s="23"/>
      <c r="E135" s="19"/>
      <c r="F135" s="23"/>
      <c r="G135" s="19"/>
      <c r="H135" s="23"/>
      <c r="I135" s="19"/>
      <c r="J135" s="19"/>
      <c r="K135" s="19"/>
      <c r="L135" s="19"/>
      <c r="M135" s="19"/>
      <c r="N135" s="19"/>
      <c r="O135" s="19"/>
      <c r="P135" s="19"/>
      <c r="Q135" s="19"/>
      <c r="R135" s="6"/>
    </row>
    <row r="136" spans="1:18" s="3" customFormat="1" ht="13.5" customHeight="1">
      <c r="A136" s="19" t="s">
        <v>151</v>
      </c>
      <c r="B136" s="20"/>
      <c r="C136" s="19">
        <v>0</v>
      </c>
      <c r="D136" s="23"/>
      <c r="E136" s="19">
        <v>261659</v>
      </c>
      <c r="F136" s="23"/>
      <c r="G136" s="19">
        <v>0</v>
      </c>
      <c r="H136" s="23"/>
      <c r="I136" s="19">
        <v>2533557</v>
      </c>
      <c r="J136" s="19"/>
      <c r="K136" s="19">
        <f>IF(SUM(C136:I136)=SUM(M136:Q136),SUM(C136:I136),SUM(M136:Q136)-SUM(C136:I136))</f>
        <v>2795216</v>
      </c>
      <c r="L136" s="19"/>
      <c r="M136" s="19">
        <v>972428</v>
      </c>
      <c r="N136" s="19"/>
      <c r="O136" s="19">
        <v>1816377</v>
      </c>
      <c r="P136" s="19"/>
      <c r="Q136" s="19">
        <f>-1+6412</f>
        <v>6411</v>
      </c>
      <c r="R136" s="6"/>
    </row>
    <row r="137" spans="1:18" s="3" customFormat="1" ht="13.5" customHeight="1">
      <c r="A137" s="19" t="s">
        <v>31</v>
      </c>
      <c r="B137" s="20"/>
      <c r="C137" s="19">
        <v>0</v>
      </c>
      <c r="D137" s="23"/>
      <c r="E137" s="19">
        <v>0</v>
      </c>
      <c r="F137" s="23"/>
      <c r="G137" s="19">
        <v>0</v>
      </c>
      <c r="H137" s="23"/>
      <c r="I137" s="19">
        <v>268478</v>
      </c>
      <c r="J137" s="19"/>
      <c r="K137" s="19">
        <f>IF(SUM(C137:I137)=SUM(M137:Q137),SUM(C137:I137),SUM(M137:Q137)-SUM(C137:I137))</f>
        <v>268478</v>
      </c>
      <c r="L137" s="19"/>
      <c r="M137" s="19">
        <v>217864</v>
      </c>
      <c r="N137" s="19"/>
      <c r="O137" s="19">
        <v>50614</v>
      </c>
      <c r="P137" s="19"/>
      <c r="Q137" s="19">
        <v>0</v>
      </c>
      <c r="R137" s="6"/>
    </row>
    <row r="138" spans="1:18" s="3" customFormat="1" ht="13.5" customHeight="1">
      <c r="A138" s="19" t="s">
        <v>152</v>
      </c>
      <c r="B138" s="20"/>
      <c r="C138" s="19">
        <v>0</v>
      </c>
      <c r="D138" s="23"/>
      <c r="E138" s="19">
        <v>23039167</v>
      </c>
      <c r="F138" s="23"/>
      <c r="G138" s="19">
        <v>1063696</v>
      </c>
      <c r="H138" s="23"/>
      <c r="I138" s="19">
        <v>0</v>
      </c>
      <c r="J138" s="19"/>
      <c r="K138" s="23">
        <f>IF(SUM(C138:I138)=SUM(M138:Q138),SUM(C138:I138),SUM(M138:Q138)-SUM(C138:I138))</f>
        <v>24102863</v>
      </c>
      <c r="L138" s="19"/>
      <c r="M138" s="19">
        <v>8926212</v>
      </c>
      <c r="N138" s="19"/>
      <c r="O138" s="19">
        <v>11033424</v>
      </c>
      <c r="P138" s="19"/>
      <c r="Q138" s="19">
        <f>-1+4143228</f>
        <v>4143227</v>
      </c>
      <c r="R138" s="6"/>
    </row>
    <row r="139" spans="1:18" s="3" customFormat="1" ht="13.5" customHeight="1">
      <c r="A139" s="19" t="s">
        <v>229</v>
      </c>
      <c r="B139" s="20"/>
      <c r="C139" s="19">
        <v>0</v>
      </c>
      <c r="D139" s="23"/>
      <c r="E139" s="19">
        <v>0</v>
      </c>
      <c r="F139" s="23"/>
      <c r="G139" s="19">
        <v>0</v>
      </c>
      <c r="H139" s="23"/>
      <c r="I139" s="19">
        <v>53297</v>
      </c>
      <c r="J139" s="19"/>
      <c r="K139" s="21">
        <f>IF(SUM(C139:I139)=SUM(M139:Q139),SUM(C139:I139),SUM(M139:Q139)-SUM(C139:I139))</f>
        <v>53297</v>
      </c>
      <c r="L139" s="19"/>
      <c r="M139" s="24">
        <v>53297</v>
      </c>
      <c r="N139" s="19"/>
      <c r="O139" s="24">
        <v>0</v>
      </c>
      <c r="P139" s="19"/>
      <c r="Q139" s="24">
        <v>0</v>
      </c>
      <c r="R139" s="6"/>
    </row>
    <row r="140" spans="1:18" s="3" customFormat="1" ht="13.5" customHeight="1">
      <c r="A140" s="19" t="s">
        <v>149</v>
      </c>
      <c r="B140" s="20"/>
      <c r="C140" s="22">
        <f>SUM(C136:C139)</f>
        <v>0</v>
      </c>
      <c r="D140" s="23"/>
      <c r="E140" s="22">
        <f>SUM(E136:E139)</f>
        <v>23300826</v>
      </c>
      <c r="F140" s="23"/>
      <c r="G140" s="22">
        <f>SUM(G136:G139)</f>
        <v>1063696</v>
      </c>
      <c r="H140" s="23"/>
      <c r="I140" s="22">
        <f>SUM(I136:I139)</f>
        <v>2855332</v>
      </c>
      <c r="J140" s="19"/>
      <c r="K140" s="22">
        <f>IF(SUM(C140:I140)=SUM(M140:Q140),SUM(C140:I140),SUM(M140:Q140)-SUM(C140:I140))</f>
        <v>27219854</v>
      </c>
      <c r="L140" s="19"/>
      <c r="M140" s="22">
        <f>SUM(M136:M139)</f>
        <v>10169801</v>
      </c>
      <c r="N140" s="19"/>
      <c r="O140" s="22">
        <f>SUM(O136:O139)</f>
        <v>12900415</v>
      </c>
      <c r="P140" s="19"/>
      <c r="Q140" s="22">
        <f>SUM(Q136:Q139)</f>
        <v>4149638</v>
      </c>
      <c r="R140" s="6"/>
    </row>
    <row r="141" spans="1:18" s="3" customFormat="1" ht="13.5" customHeight="1">
      <c r="A141" s="19"/>
      <c r="B141" s="20"/>
      <c r="C141" s="19"/>
      <c r="D141" s="23"/>
      <c r="E141" s="19"/>
      <c r="F141" s="23"/>
      <c r="G141" s="19"/>
      <c r="H141" s="23"/>
      <c r="I141" s="19"/>
      <c r="J141" s="19"/>
      <c r="K141" s="19"/>
      <c r="L141" s="19"/>
      <c r="M141" s="19"/>
      <c r="N141" s="19"/>
      <c r="O141" s="19"/>
      <c r="P141" s="19"/>
      <c r="Q141" s="19"/>
      <c r="R141" s="6"/>
    </row>
    <row r="142" spans="1:18" s="3" customFormat="1" ht="13.5" customHeight="1">
      <c r="A142" s="19" t="s">
        <v>222</v>
      </c>
      <c r="B142" s="20"/>
      <c r="C142" s="21">
        <v>46182</v>
      </c>
      <c r="D142" s="23"/>
      <c r="E142" s="21">
        <v>475984</v>
      </c>
      <c r="F142" s="23"/>
      <c r="G142" s="21">
        <v>77110</v>
      </c>
      <c r="H142" s="23"/>
      <c r="I142" s="21">
        <v>59108</v>
      </c>
      <c r="J142" s="19"/>
      <c r="K142" s="21">
        <f>IF(SUM(C142:I142)=SUM(M142:Q142),SUM(C142:I142),SUM(M142:Q142)-SUM(C142:I142))</f>
        <v>658384</v>
      </c>
      <c r="L142" s="19"/>
      <c r="M142" s="24">
        <v>403716</v>
      </c>
      <c r="N142" s="19"/>
      <c r="O142" s="24">
        <v>195837</v>
      </c>
      <c r="P142" s="19"/>
      <c r="Q142" s="24">
        <f>-1+58832</f>
        <v>58831</v>
      </c>
      <c r="R142" s="6"/>
    </row>
    <row r="143" spans="1:18" s="3" customFormat="1" ht="13.5" customHeight="1">
      <c r="A143" s="19"/>
      <c r="B143" s="20" t="s">
        <v>13</v>
      </c>
      <c r="C143" s="19"/>
      <c r="D143" s="23"/>
      <c r="E143" s="19"/>
      <c r="F143" s="23"/>
      <c r="G143" s="19"/>
      <c r="H143" s="23"/>
      <c r="I143" s="19"/>
      <c r="J143" s="19"/>
      <c r="K143" s="19"/>
      <c r="L143" s="19"/>
      <c r="M143" s="19"/>
      <c r="N143" s="19"/>
      <c r="O143" s="19"/>
      <c r="P143" s="19"/>
      <c r="Q143" s="19"/>
      <c r="R143" s="6"/>
    </row>
    <row r="144" spans="1:18" s="3" customFormat="1" ht="13.5" customHeight="1">
      <c r="A144" s="19" t="s">
        <v>64</v>
      </c>
      <c r="B144" s="20" t="s">
        <v>13</v>
      </c>
      <c r="C144" s="21">
        <v>19613</v>
      </c>
      <c r="D144" s="23"/>
      <c r="E144" s="21">
        <v>0</v>
      </c>
      <c r="F144" s="23"/>
      <c r="G144" s="21">
        <v>0</v>
      </c>
      <c r="H144" s="23"/>
      <c r="I144" s="21">
        <v>0</v>
      </c>
      <c r="J144" s="19"/>
      <c r="K144" s="21">
        <f>IF(SUM(C144:I144)=SUM(M144:Q144),SUM(C144:I144),SUM(M144:Q144)-SUM(C144:I144))</f>
        <v>19613</v>
      </c>
      <c r="L144" s="19"/>
      <c r="M144" s="24">
        <v>19613</v>
      </c>
      <c r="N144" s="19"/>
      <c r="O144" s="24">
        <v>0</v>
      </c>
      <c r="P144" s="19"/>
      <c r="Q144" s="24">
        <v>0</v>
      </c>
      <c r="R144" s="6"/>
    </row>
    <row r="145" spans="1:18" s="3" customFormat="1" ht="13.5" customHeight="1">
      <c r="A145" s="19"/>
      <c r="B145" s="20" t="s">
        <v>13</v>
      </c>
      <c r="C145" s="19"/>
      <c r="D145" s="23"/>
      <c r="E145" s="19"/>
      <c r="F145" s="23"/>
      <c r="G145" s="19"/>
      <c r="H145" s="23"/>
      <c r="I145" s="19"/>
      <c r="J145" s="19"/>
      <c r="K145" s="19"/>
      <c r="L145" s="19"/>
      <c r="M145" s="19"/>
      <c r="N145" s="19"/>
      <c r="O145" s="19"/>
      <c r="P145" s="19"/>
      <c r="Q145" s="19"/>
      <c r="R145" s="6"/>
    </row>
    <row r="146" spans="1:18" s="3" customFormat="1" ht="13.5" customHeight="1">
      <c r="A146" s="19" t="s">
        <v>65</v>
      </c>
      <c r="B146" s="20" t="s">
        <v>13</v>
      </c>
      <c r="C146" s="21">
        <v>0</v>
      </c>
      <c r="D146" s="23"/>
      <c r="E146" s="21">
        <v>0</v>
      </c>
      <c r="F146" s="23"/>
      <c r="G146" s="21">
        <v>0</v>
      </c>
      <c r="H146" s="23"/>
      <c r="I146" s="21">
        <v>4076164</v>
      </c>
      <c r="J146" s="19"/>
      <c r="K146" s="21">
        <f>IF(SUM(C146:I146)=SUM(M146:Q146),SUM(C146:I146),SUM(M146:Q146)-SUM(C146:I146))</f>
        <v>4076164</v>
      </c>
      <c r="L146" s="19"/>
      <c r="M146" s="24">
        <v>687706</v>
      </c>
      <c r="N146" s="19"/>
      <c r="O146" s="24">
        <v>3388458</v>
      </c>
      <c r="P146" s="19"/>
      <c r="Q146" s="24">
        <v>0</v>
      </c>
      <c r="R146" s="6"/>
    </row>
    <row r="147" spans="1:18" s="3" customFormat="1" ht="13.5" customHeight="1">
      <c r="A147" s="19"/>
      <c r="B147" s="20" t="s">
        <v>13</v>
      </c>
      <c r="C147" s="19"/>
      <c r="D147" s="23"/>
      <c r="E147" s="19"/>
      <c r="F147" s="23"/>
      <c r="G147" s="19"/>
      <c r="H147" s="23"/>
      <c r="I147" s="19"/>
      <c r="J147" s="19"/>
      <c r="K147" s="19"/>
      <c r="L147" s="19"/>
      <c r="M147" s="19"/>
      <c r="N147" s="19"/>
      <c r="O147" s="19"/>
      <c r="P147" s="19"/>
      <c r="Q147" s="19"/>
      <c r="R147" s="6"/>
    </row>
    <row r="148" spans="1:18" s="3" customFormat="1" ht="13.5" customHeight="1">
      <c r="A148" s="19" t="s">
        <v>66</v>
      </c>
      <c r="B148" s="20" t="s">
        <v>13</v>
      </c>
      <c r="C148" s="21">
        <v>0</v>
      </c>
      <c r="D148" s="23"/>
      <c r="E148" s="21">
        <v>327938</v>
      </c>
      <c r="F148" s="23"/>
      <c r="G148" s="21">
        <v>0</v>
      </c>
      <c r="H148" s="23"/>
      <c r="I148" s="21">
        <v>8918</v>
      </c>
      <c r="J148" s="19"/>
      <c r="K148" s="21">
        <f>IF(SUM(C148:I148)=SUM(M148:Q148),SUM(C148:I148),SUM(M148:Q148)-SUM(C148:I148))</f>
        <v>336856</v>
      </c>
      <c r="L148" s="19"/>
      <c r="M148" s="24">
        <v>282609</v>
      </c>
      <c r="N148" s="19"/>
      <c r="O148" s="24">
        <v>29955</v>
      </c>
      <c r="P148" s="19"/>
      <c r="Q148" s="24">
        <v>24292</v>
      </c>
      <c r="R148" s="6"/>
    </row>
    <row r="149" spans="1:18" s="3" customFormat="1" ht="13.5" customHeight="1">
      <c r="A149" s="19"/>
      <c r="B149" s="20" t="s">
        <v>13</v>
      </c>
      <c r="C149" s="19"/>
      <c r="D149" s="23"/>
      <c r="E149" s="19"/>
      <c r="F149" s="23"/>
      <c r="G149" s="19"/>
      <c r="H149" s="23"/>
      <c r="I149" s="19"/>
      <c r="J149" s="19"/>
      <c r="K149" s="19"/>
      <c r="L149" s="19"/>
      <c r="M149" s="19"/>
      <c r="N149" s="19"/>
      <c r="O149" s="19"/>
      <c r="P149" s="19"/>
      <c r="Q149" s="19"/>
      <c r="R149" s="6"/>
    </row>
    <row r="150" spans="1:18" s="3" customFormat="1" ht="13.5" customHeight="1">
      <c r="A150" s="19" t="s">
        <v>20</v>
      </c>
      <c r="B150" s="20" t="s">
        <v>13</v>
      </c>
      <c r="C150" s="19"/>
      <c r="D150" s="23"/>
      <c r="E150" s="19"/>
      <c r="F150" s="23"/>
      <c r="G150" s="19"/>
      <c r="H150" s="23"/>
      <c r="I150" s="19"/>
      <c r="J150" s="19"/>
      <c r="K150" s="19"/>
      <c r="L150" s="19"/>
      <c r="M150" s="19"/>
      <c r="N150" s="19"/>
      <c r="O150" s="19"/>
      <c r="P150" s="19"/>
      <c r="Q150" s="19"/>
      <c r="R150" s="6"/>
    </row>
    <row r="151" spans="1:18" s="3" customFormat="1" ht="13.5" customHeight="1">
      <c r="A151" s="19" t="s">
        <v>67</v>
      </c>
      <c r="B151" s="20" t="s">
        <v>13</v>
      </c>
      <c r="C151" s="19">
        <v>0</v>
      </c>
      <c r="D151" s="23"/>
      <c r="E151" s="19">
        <v>0</v>
      </c>
      <c r="F151" s="23"/>
      <c r="G151" s="19">
        <v>73359</v>
      </c>
      <c r="H151" s="23"/>
      <c r="I151" s="19">
        <v>0</v>
      </c>
      <c r="J151" s="19"/>
      <c r="K151" s="19">
        <f aca="true" t="shared" si="6" ref="K151:K157">IF(SUM(C151:I151)=SUM(M151:Q151),SUM(C151:I151),SUM(M151:Q151)-SUM(C151:I151))</f>
        <v>73359</v>
      </c>
      <c r="L151" s="19"/>
      <c r="M151" s="19">
        <v>50410</v>
      </c>
      <c r="N151" s="19"/>
      <c r="O151" s="19">
        <f>1+22948</f>
        <v>22949</v>
      </c>
      <c r="P151" s="19"/>
      <c r="Q151" s="19">
        <v>0</v>
      </c>
      <c r="R151" s="6"/>
    </row>
    <row r="152" spans="1:18" s="3" customFormat="1" ht="13.5" customHeight="1">
      <c r="A152" s="19" t="s">
        <v>306</v>
      </c>
      <c r="B152" s="20"/>
      <c r="C152" s="19">
        <v>0</v>
      </c>
      <c r="D152" s="23"/>
      <c r="E152" s="19">
        <v>0</v>
      </c>
      <c r="F152" s="23"/>
      <c r="G152" s="19">
        <v>321</v>
      </c>
      <c r="H152" s="23"/>
      <c r="I152" s="19">
        <v>0</v>
      </c>
      <c r="J152" s="19"/>
      <c r="K152" s="19">
        <f t="shared" si="6"/>
        <v>321</v>
      </c>
      <c r="L152" s="19"/>
      <c r="M152" s="19">
        <v>0</v>
      </c>
      <c r="N152" s="19"/>
      <c r="O152" s="19">
        <v>321</v>
      </c>
      <c r="P152" s="19"/>
      <c r="Q152" s="19">
        <v>0</v>
      </c>
      <c r="R152" s="6"/>
    </row>
    <row r="153" spans="1:18" s="3" customFormat="1" ht="13.5" customHeight="1">
      <c r="A153" s="19" t="s">
        <v>31</v>
      </c>
      <c r="B153" s="20" t="s">
        <v>13</v>
      </c>
      <c r="C153" s="19">
        <v>0</v>
      </c>
      <c r="D153" s="23"/>
      <c r="E153" s="19">
        <v>3392</v>
      </c>
      <c r="F153" s="23"/>
      <c r="G153" s="19">
        <v>214455</v>
      </c>
      <c r="H153" s="23"/>
      <c r="I153" s="19">
        <v>12950</v>
      </c>
      <c r="J153" s="19"/>
      <c r="K153" s="19">
        <f t="shared" si="6"/>
        <v>230797</v>
      </c>
      <c r="L153" s="19"/>
      <c r="M153" s="19">
        <v>151481</v>
      </c>
      <c r="N153" s="19"/>
      <c r="O153" s="19">
        <v>68122</v>
      </c>
      <c r="P153" s="19"/>
      <c r="Q153" s="19">
        <v>11194</v>
      </c>
      <c r="R153" s="6"/>
    </row>
    <row r="154" spans="1:18" s="3" customFormat="1" ht="13.5" customHeight="1">
      <c r="A154" s="19" t="s">
        <v>118</v>
      </c>
      <c r="B154" s="20"/>
      <c r="C154" s="19">
        <v>20122</v>
      </c>
      <c r="D154" s="23"/>
      <c r="E154" s="19">
        <v>0</v>
      </c>
      <c r="F154" s="23"/>
      <c r="G154" s="19">
        <v>90197</v>
      </c>
      <c r="H154" s="23"/>
      <c r="I154" s="19">
        <v>0</v>
      </c>
      <c r="J154" s="19"/>
      <c r="K154" s="19">
        <f t="shared" si="6"/>
        <v>110319</v>
      </c>
      <c r="L154" s="19"/>
      <c r="M154" s="19">
        <v>90304</v>
      </c>
      <c r="N154" s="19"/>
      <c r="O154" s="19">
        <v>13035</v>
      </c>
      <c r="P154" s="19"/>
      <c r="Q154" s="19">
        <v>6980</v>
      </c>
      <c r="R154" s="6"/>
    </row>
    <row r="155" spans="1:18" s="4" customFormat="1" ht="13.5" customHeight="1">
      <c r="A155" s="19" t="s">
        <v>214</v>
      </c>
      <c r="B155" s="20"/>
      <c r="C155" s="19">
        <v>0</v>
      </c>
      <c r="D155" s="23"/>
      <c r="E155" s="19">
        <v>0</v>
      </c>
      <c r="F155" s="23"/>
      <c r="G155" s="19">
        <v>6363</v>
      </c>
      <c r="H155" s="23"/>
      <c r="I155" s="19">
        <v>8719027</v>
      </c>
      <c r="J155" s="19"/>
      <c r="K155" s="23">
        <f t="shared" si="6"/>
        <v>8725390</v>
      </c>
      <c r="L155" s="19"/>
      <c r="M155" s="19">
        <v>6077550</v>
      </c>
      <c r="N155" s="19"/>
      <c r="O155" s="19">
        <v>2647840</v>
      </c>
      <c r="P155" s="19"/>
      <c r="Q155" s="19">
        <v>0</v>
      </c>
      <c r="R155" s="7"/>
    </row>
    <row r="156" spans="1:18" s="4" customFormat="1" ht="13.5" customHeight="1">
      <c r="A156" s="19" t="s">
        <v>225</v>
      </c>
      <c r="B156" s="20"/>
      <c r="C156" s="19">
        <v>0</v>
      </c>
      <c r="D156" s="23"/>
      <c r="E156" s="19">
        <v>0</v>
      </c>
      <c r="F156" s="23"/>
      <c r="G156" s="19">
        <v>0</v>
      </c>
      <c r="H156" s="23"/>
      <c r="I156" s="19">
        <v>226285</v>
      </c>
      <c r="J156" s="19"/>
      <c r="K156" s="21">
        <f t="shared" si="6"/>
        <v>226285</v>
      </c>
      <c r="L156" s="19"/>
      <c r="M156" s="24">
        <v>10441</v>
      </c>
      <c r="N156" s="19"/>
      <c r="O156" s="24">
        <v>215844</v>
      </c>
      <c r="P156" s="19"/>
      <c r="Q156" s="24">
        <v>0</v>
      </c>
      <c r="R156" s="7"/>
    </row>
    <row r="157" spans="1:18" s="3" customFormat="1" ht="13.5" customHeight="1">
      <c r="A157" s="19" t="s">
        <v>124</v>
      </c>
      <c r="B157" s="20" t="s">
        <v>13</v>
      </c>
      <c r="C157" s="34">
        <f>SUM(C151:C156)</f>
        <v>20122</v>
      </c>
      <c r="D157" s="23"/>
      <c r="E157" s="34">
        <f>SUM(E151:E156)</f>
        <v>3392</v>
      </c>
      <c r="F157" s="23"/>
      <c r="G157" s="34">
        <f>SUM(G151:G156)</f>
        <v>384695</v>
      </c>
      <c r="H157" s="23"/>
      <c r="I157" s="34">
        <f>SUM(I151:I156)</f>
        <v>8958262</v>
      </c>
      <c r="J157" s="19"/>
      <c r="K157" s="22">
        <f t="shared" si="6"/>
        <v>9366471</v>
      </c>
      <c r="L157" s="19"/>
      <c r="M157" s="21">
        <f>SUM(M151:M156)</f>
        <v>6380186</v>
      </c>
      <c r="N157" s="19"/>
      <c r="O157" s="21">
        <f>SUM(O151:O156)</f>
        <v>2968111</v>
      </c>
      <c r="P157" s="19"/>
      <c r="Q157" s="21">
        <f>SUM(Q151:Q156)</f>
        <v>18174</v>
      </c>
      <c r="R157" s="6"/>
    </row>
    <row r="158" spans="1:18" s="3" customFormat="1" ht="13.5" customHeight="1">
      <c r="A158" s="19"/>
      <c r="B158" s="20" t="s">
        <v>13</v>
      </c>
      <c r="C158" s="19"/>
      <c r="D158" s="23"/>
      <c r="E158" s="19"/>
      <c r="F158" s="23"/>
      <c r="G158" s="19"/>
      <c r="H158" s="23"/>
      <c r="I158" s="19"/>
      <c r="J158" s="19"/>
      <c r="K158" s="19"/>
      <c r="L158" s="19"/>
      <c r="M158" s="19"/>
      <c r="N158" s="19"/>
      <c r="O158" s="19"/>
      <c r="P158" s="19"/>
      <c r="Q158" s="19"/>
      <c r="R158" s="6"/>
    </row>
    <row r="159" spans="1:18" s="3" customFormat="1" ht="13.5" customHeight="1">
      <c r="A159" s="19" t="s">
        <v>125</v>
      </c>
      <c r="B159" s="20" t="s">
        <v>13</v>
      </c>
      <c r="C159" s="21">
        <f>SUM(C157,C148,C146,C144,C142,C109,C140,C123,C115,C83,C81,C79,C77,C113,C66,C60,C62,C51,C133,C97,C37,C29,C64,C107,C111,C53)</f>
        <v>4727272</v>
      </c>
      <c r="D159" s="23"/>
      <c r="E159" s="21">
        <f>SUM(E157,E148,E146,E144,E142,E109,E140,E123,E115,E83,E81,E79,E77,E113,E66,E60,E62,E51,E133,E97,E37,E29,E64,E107,E111,E53)</f>
        <v>25458305</v>
      </c>
      <c r="F159" s="23"/>
      <c r="G159" s="21">
        <f>SUM(G157,G148,G146,G144,G142,G109,G140,G123,G115,G83,G81,G79,G77,G113,G66,G60,G62,G51,G133,G97,G37,G29,G64,G107,G111,G53)</f>
        <v>6577897</v>
      </c>
      <c r="H159" s="23"/>
      <c r="I159" s="21">
        <f>SUM(I157,I148,I146,I144,I142,I109,I140,I123,I115,I83,I81,I79,I77,I113,I66,I60,I62,I51,I133,I97,I37,I29,I64,I107,I111,I53)</f>
        <v>20678264</v>
      </c>
      <c r="J159" s="23"/>
      <c r="K159" s="21">
        <f>IF(SUM(C159:I159)=SUM(M159:Q159),SUM(C159:I159),SUM(M159:Q159)-SUM(C159:I159))</f>
        <v>57441738</v>
      </c>
      <c r="L159" s="23"/>
      <c r="M159" s="21">
        <f>SUM(M157,M148,M146,M144,M142,M109,M140,M123,M115,M83,M81,M79,M77,M113,M66,M60,M62,M51,M133,M97,M37,M29,M64,M107,M111,M53)</f>
        <v>26890066</v>
      </c>
      <c r="N159" s="23"/>
      <c r="O159" s="21">
        <f>SUM(O157,O148,O146,O144,O142,O109,O140,O123,O115,O83,O81,O79,O77,O113,O66,O60,O62,O51,O133,O97,O37,O29,O64,O107,O111,O53)</f>
        <v>25757580</v>
      </c>
      <c r="P159" s="25"/>
      <c r="Q159" s="21">
        <f>SUM(Q157,Q148,Q146,Q144,Q142,Q109,Q140,Q123,Q115,Q83,Q81,Q79,Q77,Q113,Q66,Q60,Q62,Q51,Q133,Q97,Q37,Q29,Q64,Q107,Q111,Q53)</f>
        <v>4794092</v>
      </c>
      <c r="R159" s="6"/>
    </row>
    <row r="160" spans="1:18" s="3" customFormat="1" ht="13.5" customHeight="1">
      <c r="A160" s="19"/>
      <c r="B160" s="20" t="s">
        <v>13</v>
      </c>
      <c r="C160" s="19"/>
      <c r="D160" s="23"/>
      <c r="E160" s="19"/>
      <c r="F160" s="23"/>
      <c r="G160" s="19"/>
      <c r="H160" s="23"/>
      <c r="I160" s="19"/>
      <c r="J160" s="19"/>
      <c r="K160" s="19"/>
      <c r="L160" s="19"/>
      <c r="M160" s="19"/>
      <c r="N160" s="19"/>
      <c r="O160" s="19"/>
      <c r="P160" s="19"/>
      <c r="Q160" s="19"/>
      <c r="R160" s="6"/>
    </row>
    <row r="161" spans="1:18" s="3" customFormat="1" ht="13.5" customHeight="1">
      <c r="A161" s="19" t="s">
        <v>18</v>
      </c>
      <c r="B161" s="20" t="s">
        <v>13</v>
      </c>
      <c r="C161" s="19" t="s">
        <v>13</v>
      </c>
      <c r="D161" s="23"/>
      <c r="E161" s="19" t="s">
        <v>13</v>
      </c>
      <c r="F161" s="23"/>
      <c r="G161" s="19" t="s">
        <v>13</v>
      </c>
      <c r="H161" s="23"/>
      <c r="I161" s="19" t="s">
        <v>13</v>
      </c>
      <c r="J161" s="19"/>
      <c r="K161" s="19"/>
      <c r="L161" s="19"/>
      <c r="M161" s="19" t="s">
        <v>13</v>
      </c>
      <c r="N161" s="19"/>
      <c r="O161" s="19" t="s">
        <v>13</v>
      </c>
      <c r="P161" s="19"/>
      <c r="Q161" s="19" t="s">
        <v>13</v>
      </c>
      <c r="R161" s="6"/>
    </row>
    <row r="162" spans="1:18" s="3" customFormat="1" ht="13.5" customHeight="1">
      <c r="A162" s="19"/>
      <c r="B162" s="20"/>
      <c r="C162" s="19"/>
      <c r="D162" s="23"/>
      <c r="E162" s="19"/>
      <c r="F162" s="23"/>
      <c r="G162" s="19"/>
      <c r="H162" s="23"/>
      <c r="I162" s="19"/>
      <c r="J162" s="19"/>
      <c r="K162" s="19"/>
      <c r="L162" s="19"/>
      <c r="M162" s="19"/>
      <c r="N162" s="19"/>
      <c r="O162" s="19"/>
      <c r="P162" s="19"/>
      <c r="Q162" s="19"/>
      <c r="R162" s="6"/>
    </row>
    <row r="163" spans="1:18" s="3" customFormat="1" ht="13.5" customHeight="1">
      <c r="A163" s="19" t="s">
        <v>12</v>
      </c>
      <c r="B163" s="20" t="s">
        <v>13</v>
      </c>
      <c r="C163" s="19"/>
      <c r="D163" s="23"/>
      <c r="E163" s="19"/>
      <c r="F163" s="23"/>
      <c r="G163" s="19"/>
      <c r="H163" s="23"/>
      <c r="I163" s="19"/>
      <c r="J163" s="19"/>
      <c r="K163" s="19"/>
      <c r="L163" s="19"/>
      <c r="M163" s="19"/>
      <c r="N163" s="19"/>
      <c r="O163" s="19"/>
      <c r="P163" s="19"/>
      <c r="Q163" s="19"/>
      <c r="R163" s="6"/>
    </row>
    <row r="164" spans="1:18" s="3" customFormat="1" ht="13.5" customHeight="1">
      <c r="A164" s="19" t="s">
        <v>190</v>
      </c>
      <c r="B164" s="20" t="s">
        <v>13</v>
      </c>
      <c r="C164" s="19">
        <v>0</v>
      </c>
      <c r="D164" s="23"/>
      <c r="E164" s="19">
        <v>0</v>
      </c>
      <c r="F164" s="23"/>
      <c r="G164" s="19">
        <v>2548</v>
      </c>
      <c r="H164" s="23"/>
      <c r="I164" s="19">
        <v>1000</v>
      </c>
      <c r="J164" s="19"/>
      <c r="K164" s="19">
        <f>IF(SUM(C164:I164)=SUM(M164:Q164),SUM(C164:I164),SUM(M164:Q164)-SUM(C164:I164))</f>
        <v>3548</v>
      </c>
      <c r="L164" s="19"/>
      <c r="M164" s="19">
        <v>2323</v>
      </c>
      <c r="N164" s="19"/>
      <c r="O164" s="19">
        <f>-1+1226</f>
        <v>1225</v>
      </c>
      <c r="P164" s="19"/>
      <c r="Q164" s="19">
        <v>0</v>
      </c>
      <c r="R164" s="6"/>
    </row>
    <row r="165" spans="1:18" s="3" customFormat="1" ht="13.5" customHeight="1">
      <c r="A165" s="19" t="s">
        <v>309</v>
      </c>
      <c r="B165" s="20"/>
      <c r="C165" s="19">
        <v>0</v>
      </c>
      <c r="D165" s="23"/>
      <c r="E165" s="19">
        <v>0</v>
      </c>
      <c r="F165" s="23"/>
      <c r="G165" s="19">
        <v>0</v>
      </c>
      <c r="H165" s="23"/>
      <c r="I165" s="19">
        <v>5598</v>
      </c>
      <c r="J165" s="19"/>
      <c r="K165" s="19">
        <f>IF(SUM(C165:I165)=SUM(M165:Q165),SUM(C165:I165),SUM(M165:Q165)-SUM(C165:I165))</f>
        <v>5598</v>
      </c>
      <c r="L165" s="19"/>
      <c r="M165" s="19">
        <v>0</v>
      </c>
      <c r="N165" s="19"/>
      <c r="O165" s="19">
        <v>5598</v>
      </c>
      <c r="P165" s="19"/>
      <c r="Q165" s="19">
        <v>0</v>
      </c>
      <c r="R165" s="6"/>
    </row>
    <row r="166" spans="1:18" s="3" customFormat="1" ht="13.5" customHeight="1">
      <c r="A166" s="19" t="s">
        <v>68</v>
      </c>
      <c r="B166" s="20" t="s">
        <v>13</v>
      </c>
      <c r="C166" s="19">
        <v>408</v>
      </c>
      <c r="D166" s="23"/>
      <c r="E166" s="19">
        <v>76824</v>
      </c>
      <c r="F166" s="23"/>
      <c r="G166" s="19">
        <v>0</v>
      </c>
      <c r="H166" s="23"/>
      <c r="I166" s="19">
        <v>0</v>
      </c>
      <c r="J166" s="19"/>
      <c r="K166" s="19">
        <f aca="true" t="shared" si="7" ref="K166:K196">IF(SUM(C166:I166)=SUM(M166:Q166),SUM(C166:I166),SUM(M166:Q166)-SUM(C166:I166))</f>
        <v>77232</v>
      </c>
      <c r="L166" s="19"/>
      <c r="M166" s="19">
        <v>49565</v>
      </c>
      <c r="N166" s="19"/>
      <c r="O166" s="19">
        <v>2727</v>
      </c>
      <c r="P166" s="19"/>
      <c r="Q166" s="19">
        <v>24940</v>
      </c>
      <c r="R166" s="6"/>
    </row>
    <row r="167" spans="1:18" s="3" customFormat="1" ht="13.5" customHeight="1">
      <c r="A167" s="19" t="s">
        <v>69</v>
      </c>
      <c r="B167" s="20" t="s">
        <v>13</v>
      </c>
      <c r="C167" s="19">
        <v>0</v>
      </c>
      <c r="D167" s="23"/>
      <c r="E167" s="19">
        <v>0</v>
      </c>
      <c r="F167" s="23"/>
      <c r="G167" s="19">
        <v>8142</v>
      </c>
      <c r="H167" s="23"/>
      <c r="I167" s="19">
        <v>6700</v>
      </c>
      <c r="J167" s="19"/>
      <c r="K167" s="19">
        <f t="shared" si="7"/>
        <v>14842</v>
      </c>
      <c r="L167" s="19"/>
      <c r="M167" s="19">
        <v>3000</v>
      </c>
      <c r="N167" s="19"/>
      <c r="O167" s="19">
        <v>11842</v>
      </c>
      <c r="P167" s="19"/>
      <c r="Q167" s="19">
        <v>0</v>
      </c>
      <c r="R167" s="6"/>
    </row>
    <row r="168" spans="1:18" s="3" customFormat="1" ht="13.5" customHeight="1">
      <c r="A168" s="19" t="s">
        <v>70</v>
      </c>
      <c r="B168" s="20" t="s">
        <v>13</v>
      </c>
      <c r="C168" s="19">
        <v>0</v>
      </c>
      <c r="D168" s="23"/>
      <c r="E168" s="19">
        <v>0</v>
      </c>
      <c r="F168" s="23"/>
      <c r="G168" s="19">
        <v>3222</v>
      </c>
      <c r="H168" s="23"/>
      <c r="I168" s="19">
        <v>1162</v>
      </c>
      <c r="J168" s="19"/>
      <c r="K168" s="19">
        <f t="shared" si="7"/>
        <v>4384</v>
      </c>
      <c r="L168" s="19"/>
      <c r="M168" s="19">
        <v>3000</v>
      </c>
      <c r="N168" s="19"/>
      <c r="O168" s="19">
        <v>1384</v>
      </c>
      <c r="P168" s="19"/>
      <c r="Q168" s="19">
        <v>0</v>
      </c>
      <c r="R168" s="6"/>
    </row>
    <row r="169" spans="1:18" s="3" customFormat="1" ht="13.5" customHeight="1">
      <c r="A169" s="19" t="s">
        <v>31</v>
      </c>
      <c r="B169" s="20"/>
      <c r="C169" s="19">
        <v>0</v>
      </c>
      <c r="D169" s="23"/>
      <c r="E169" s="19">
        <v>0</v>
      </c>
      <c r="F169" s="23"/>
      <c r="G169" s="19">
        <v>0</v>
      </c>
      <c r="H169" s="23"/>
      <c r="I169" s="19">
        <v>3891</v>
      </c>
      <c r="J169" s="19"/>
      <c r="K169" s="19">
        <f t="shared" si="7"/>
        <v>3891</v>
      </c>
      <c r="L169" s="19"/>
      <c r="M169" s="19">
        <v>0</v>
      </c>
      <c r="N169" s="19"/>
      <c r="O169" s="19">
        <v>3891</v>
      </c>
      <c r="P169" s="19"/>
      <c r="Q169" s="19">
        <v>0</v>
      </c>
      <c r="R169" s="6"/>
    </row>
    <row r="170" spans="1:18" s="3" customFormat="1" ht="13.5" customHeight="1">
      <c r="A170" s="19" t="s">
        <v>291</v>
      </c>
      <c r="B170" s="20" t="s">
        <v>13</v>
      </c>
      <c r="C170" s="19">
        <v>0</v>
      </c>
      <c r="D170" s="23"/>
      <c r="E170" s="19">
        <v>0</v>
      </c>
      <c r="F170" s="23"/>
      <c r="G170" s="19">
        <v>1816</v>
      </c>
      <c r="H170" s="23"/>
      <c r="I170" s="19">
        <v>9471</v>
      </c>
      <c r="J170" s="19"/>
      <c r="K170" s="19">
        <f t="shared" si="7"/>
        <v>11287</v>
      </c>
      <c r="L170" s="19"/>
      <c r="M170" s="19">
        <v>3000</v>
      </c>
      <c r="N170" s="19"/>
      <c r="O170" s="19">
        <v>8287</v>
      </c>
      <c r="P170" s="19"/>
      <c r="Q170" s="19">
        <v>0</v>
      </c>
      <c r="R170" s="6"/>
    </row>
    <row r="171" spans="1:18" s="3" customFormat="1" ht="13.5" customHeight="1">
      <c r="A171" s="19" t="s">
        <v>215</v>
      </c>
      <c r="B171" s="20"/>
      <c r="C171" s="19">
        <v>0</v>
      </c>
      <c r="D171" s="23"/>
      <c r="E171" s="19">
        <v>0</v>
      </c>
      <c r="F171" s="23"/>
      <c r="G171" s="19">
        <v>6119</v>
      </c>
      <c r="H171" s="23"/>
      <c r="I171" s="19">
        <v>4500</v>
      </c>
      <c r="J171" s="19"/>
      <c r="K171" s="19">
        <f t="shared" si="7"/>
        <v>10619</v>
      </c>
      <c r="L171" s="19"/>
      <c r="M171" s="19">
        <v>3750</v>
      </c>
      <c r="N171" s="19"/>
      <c r="O171" s="19">
        <v>6869</v>
      </c>
      <c r="P171" s="19"/>
      <c r="Q171" s="19">
        <v>0</v>
      </c>
      <c r="R171" s="6"/>
    </row>
    <row r="172" spans="1:18" s="3" customFormat="1" ht="13.5" customHeight="1">
      <c r="A172" s="19" t="s">
        <v>144</v>
      </c>
      <c r="B172" s="19" t="s">
        <v>14</v>
      </c>
      <c r="C172" s="19">
        <v>0</v>
      </c>
      <c r="D172" s="23"/>
      <c r="E172" s="19">
        <v>0</v>
      </c>
      <c r="F172" s="23"/>
      <c r="G172" s="19">
        <v>0</v>
      </c>
      <c r="H172" s="23"/>
      <c r="I172" s="19">
        <v>128208</v>
      </c>
      <c r="J172" s="19"/>
      <c r="K172" s="25">
        <f t="shared" si="7"/>
        <v>128208</v>
      </c>
      <c r="L172" s="25"/>
      <c r="M172" s="25">
        <v>115267</v>
      </c>
      <c r="N172" s="25"/>
      <c r="O172" s="25">
        <v>12941</v>
      </c>
      <c r="P172" s="25"/>
      <c r="Q172" s="25">
        <v>0</v>
      </c>
      <c r="R172" s="6"/>
    </row>
    <row r="173" spans="1:18" s="3" customFormat="1" ht="13.5" customHeight="1">
      <c r="A173" s="19" t="s">
        <v>293</v>
      </c>
      <c r="B173" s="19"/>
      <c r="C173" s="19">
        <v>0</v>
      </c>
      <c r="D173" s="23"/>
      <c r="E173" s="19">
        <v>0</v>
      </c>
      <c r="F173" s="23"/>
      <c r="G173" s="19">
        <v>5436</v>
      </c>
      <c r="H173" s="23"/>
      <c r="I173" s="19">
        <v>19139</v>
      </c>
      <c r="J173" s="19"/>
      <c r="K173" s="25">
        <f t="shared" si="7"/>
        <v>24575</v>
      </c>
      <c r="L173" s="19"/>
      <c r="M173" s="23">
        <v>5000</v>
      </c>
      <c r="N173" s="19"/>
      <c r="O173" s="23">
        <v>19575</v>
      </c>
      <c r="P173" s="19"/>
      <c r="Q173" s="23">
        <v>0</v>
      </c>
      <c r="R173" s="6"/>
    </row>
    <row r="174" spans="1:18" s="3" customFormat="1" ht="13.5" customHeight="1">
      <c r="A174" s="19" t="s">
        <v>120</v>
      </c>
      <c r="B174" s="20" t="s">
        <v>13</v>
      </c>
      <c r="C174" s="22">
        <f>SUM(C164:C173)</f>
        <v>408</v>
      </c>
      <c r="D174" s="23"/>
      <c r="E174" s="22">
        <f>SUM(E164:E173)</f>
        <v>76824</v>
      </c>
      <c r="F174" s="23"/>
      <c r="G174" s="22">
        <f>SUM(G164:G173)</f>
        <v>27283</v>
      </c>
      <c r="H174" s="23"/>
      <c r="I174" s="22">
        <f>SUM(I164:I173)</f>
        <v>179669</v>
      </c>
      <c r="J174" s="19"/>
      <c r="K174" s="22">
        <f t="shared" si="7"/>
        <v>284184</v>
      </c>
      <c r="L174" s="19"/>
      <c r="M174" s="22">
        <f>SUM(M164:M173)</f>
        <v>184905</v>
      </c>
      <c r="N174" s="19"/>
      <c r="O174" s="22">
        <f>SUM(O164:O173)</f>
        <v>74339</v>
      </c>
      <c r="P174" s="19"/>
      <c r="Q174" s="22">
        <f>SUM(Q164:Q173)</f>
        <v>24940</v>
      </c>
      <c r="R174" s="6"/>
    </row>
    <row r="175" spans="1:18" s="3" customFormat="1" ht="13.5" customHeight="1">
      <c r="A175" s="19"/>
      <c r="B175" s="20"/>
      <c r="C175" s="23"/>
      <c r="D175" s="23"/>
      <c r="E175" s="23"/>
      <c r="F175" s="23"/>
      <c r="G175" s="23"/>
      <c r="H175" s="23"/>
      <c r="I175" s="23"/>
      <c r="J175" s="19"/>
      <c r="K175" s="19"/>
      <c r="L175" s="19"/>
      <c r="M175" s="23"/>
      <c r="N175" s="19"/>
      <c r="O175" s="23"/>
      <c r="P175" s="19"/>
      <c r="Q175" s="23"/>
      <c r="R175" s="6"/>
    </row>
    <row r="176" spans="1:18" s="3" customFormat="1" ht="13.5" customHeight="1">
      <c r="A176" s="19" t="s">
        <v>159</v>
      </c>
      <c r="B176" s="20" t="s">
        <v>13</v>
      </c>
      <c r="C176" s="19" t="s">
        <v>13</v>
      </c>
      <c r="D176" s="23"/>
      <c r="E176" s="19" t="s">
        <v>13</v>
      </c>
      <c r="F176" s="23"/>
      <c r="G176" s="19" t="s">
        <v>13</v>
      </c>
      <c r="H176" s="23"/>
      <c r="I176" s="19" t="s">
        <v>13</v>
      </c>
      <c r="J176" s="19"/>
      <c r="K176" s="19"/>
      <c r="L176" s="19"/>
      <c r="M176" s="19" t="s">
        <v>13</v>
      </c>
      <c r="N176" s="19"/>
      <c r="O176" s="19" t="s">
        <v>13</v>
      </c>
      <c r="P176" s="19"/>
      <c r="Q176" s="19" t="s">
        <v>13</v>
      </c>
      <c r="R176" s="6"/>
    </row>
    <row r="177" spans="1:18" s="3" customFormat="1" ht="13.5" customHeight="1">
      <c r="A177" s="19" t="s">
        <v>79</v>
      </c>
      <c r="B177" s="20" t="s">
        <v>13</v>
      </c>
      <c r="C177" s="19">
        <v>438154</v>
      </c>
      <c r="D177" s="23"/>
      <c r="E177" s="19">
        <v>0</v>
      </c>
      <c r="F177" s="23"/>
      <c r="G177" s="19">
        <v>17454</v>
      </c>
      <c r="H177" s="23"/>
      <c r="I177" s="19">
        <v>40326</v>
      </c>
      <c r="J177" s="19"/>
      <c r="K177" s="19">
        <f t="shared" si="7"/>
        <v>495934</v>
      </c>
      <c r="L177" s="19"/>
      <c r="M177" s="19">
        <v>362171</v>
      </c>
      <c r="N177" s="19"/>
      <c r="O177" s="19">
        <v>51275</v>
      </c>
      <c r="P177" s="19"/>
      <c r="Q177" s="19">
        <f>-1+82489</f>
        <v>82488</v>
      </c>
      <c r="R177" s="6"/>
    </row>
    <row r="178" spans="1:18" s="3" customFormat="1" ht="13.5" customHeight="1">
      <c r="A178" s="19" t="s">
        <v>52</v>
      </c>
      <c r="B178" s="20"/>
      <c r="C178" s="19">
        <v>0</v>
      </c>
      <c r="D178" s="23"/>
      <c r="E178" s="19">
        <v>0</v>
      </c>
      <c r="F178" s="23"/>
      <c r="G178" s="19">
        <v>3800</v>
      </c>
      <c r="H178" s="23"/>
      <c r="I178" s="19">
        <v>2100</v>
      </c>
      <c r="J178" s="19"/>
      <c r="K178" s="19">
        <f>IF(SUM(C178:I178)=SUM(M178:Q178),SUM(C178:I178),SUM(M178:Q178)-SUM(C178:I178))</f>
        <v>5900</v>
      </c>
      <c r="L178" s="19"/>
      <c r="M178" s="19">
        <v>5250</v>
      </c>
      <c r="N178" s="19"/>
      <c r="O178" s="19">
        <v>650</v>
      </c>
      <c r="P178" s="19"/>
      <c r="Q178" s="19">
        <v>0</v>
      </c>
      <c r="R178" s="6"/>
    </row>
    <row r="179" spans="1:18" s="3" customFormat="1" ht="13.5" customHeight="1">
      <c r="A179" s="19" t="s">
        <v>31</v>
      </c>
      <c r="B179" s="20"/>
      <c r="C179" s="19">
        <v>0</v>
      </c>
      <c r="D179" s="23"/>
      <c r="E179" s="19">
        <v>31152</v>
      </c>
      <c r="F179" s="23"/>
      <c r="G179" s="19">
        <v>586794</v>
      </c>
      <c r="H179" s="23"/>
      <c r="I179" s="19">
        <v>0</v>
      </c>
      <c r="J179" s="19"/>
      <c r="K179" s="19">
        <f t="shared" si="7"/>
        <v>617946</v>
      </c>
      <c r="L179" s="19"/>
      <c r="M179" s="19">
        <v>504428</v>
      </c>
      <c r="N179" s="19"/>
      <c r="O179" s="19">
        <v>107454</v>
      </c>
      <c r="P179" s="19"/>
      <c r="Q179" s="19">
        <v>6064</v>
      </c>
      <c r="R179" s="6"/>
    </row>
    <row r="180" spans="1:18" s="3" customFormat="1" ht="13.5" customHeight="1">
      <c r="A180" s="19" t="s">
        <v>236</v>
      </c>
      <c r="B180" s="20"/>
      <c r="C180" s="19">
        <v>0</v>
      </c>
      <c r="D180" s="23"/>
      <c r="E180" s="19">
        <v>0</v>
      </c>
      <c r="F180" s="23"/>
      <c r="G180" s="19">
        <v>1501</v>
      </c>
      <c r="H180" s="23"/>
      <c r="I180" s="19">
        <v>1000</v>
      </c>
      <c r="J180" s="19"/>
      <c r="K180" s="19">
        <f t="shared" si="7"/>
        <v>2501</v>
      </c>
      <c r="L180" s="19"/>
      <c r="M180" s="19">
        <v>2501</v>
      </c>
      <c r="N180" s="19"/>
      <c r="O180" s="19">
        <v>0</v>
      </c>
      <c r="P180" s="19"/>
      <c r="Q180" s="19">
        <v>0</v>
      </c>
      <c r="R180" s="6"/>
    </row>
    <row r="181" spans="1:18" s="3" customFormat="1" ht="13.5" customHeight="1">
      <c r="A181" s="19" t="s">
        <v>53</v>
      </c>
      <c r="B181" s="20" t="s">
        <v>13</v>
      </c>
      <c r="C181" s="19">
        <v>0</v>
      </c>
      <c r="D181" s="23"/>
      <c r="E181" s="19">
        <v>0</v>
      </c>
      <c r="F181" s="23"/>
      <c r="G181" s="19">
        <v>2499</v>
      </c>
      <c r="H181" s="23"/>
      <c r="I181" s="19">
        <v>1374</v>
      </c>
      <c r="J181" s="19"/>
      <c r="K181" s="21">
        <f t="shared" si="7"/>
        <v>3873</v>
      </c>
      <c r="L181" s="19"/>
      <c r="M181" s="24">
        <v>2388</v>
      </c>
      <c r="N181" s="19"/>
      <c r="O181" s="24">
        <v>1435</v>
      </c>
      <c r="P181" s="19"/>
      <c r="Q181" s="24">
        <v>50</v>
      </c>
      <c r="R181" s="6"/>
    </row>
    <row r="182" spans="1:18" s="3" customFormat="1" ht="13.5" customHeight="1">
      <c r="A182" s="19" t="s">
        <v>176</v>
      </c>
      <c r="B182" s="20" t="s">
        <v>13</v>
      </c>
      <c r="C182" s="34">
        <f>SUM(C177:C181)</f>
        <v>438154</v>
      </c>
      <c r="D182" s="23"/>
      <c r="E182" s="34">
        <f>SUM(E177:E181)</f>
        <v>31152</v>
      </c>
      <c r="F182" s="23"/>
      <c r="G182" s="34">
        <f>SUM(G177:G181)</f>
        <v>612048</v>
      </c>
      <c r="H182" s="23"/>
      <c r="I182" s="34">
        <f>SUM(I177:I181)</f>
        <v>44800</v>
      </c>
      <c r="J182" s="19"/>
      <c r="K182" s="22">
        <f t="shared" si="7"/>
        <v>1126154</v>
      </c>
      <c r="L182" s="19"/>
      <c r="M182" s="21">
        <f>SUM(M177:M181)</f>
        <v>876738</v>
      </c>
      <c r="N182" s="19"/>
      <c r="O182" s="21">
        <f>SUM(O177:O181)</f>
        <v>160814</v>
      </c>
      <c r="P182" s="19"/>
      <c r="Q182" s="21">
        <f>SUM(Q177:Q181)</f>
        <v>88602</v>
      </c>
      <c r="R182" s="6"/>
    </row>
    <row r="183" spans="1:18" s="3" customFormat="1" ht="13.5" customHeight="1">
      <c r="A183" s="19"/>
      <c r="B183" s="20" t="s">
        <v>13</v>
      </c>
      <c r="C183" s="19"/>
      <c r="D183" s="23"/>
      <c r="E183" s="19"/>
      <c r="F183" s="23"/>
      <c r="G183" s="19"/>
      <c r="H183" s="23"/>
      <c r="I183" s="19"/>
      <c r="J183" s="19"/>
      <c r="K183" s="19"/>
      <c r="L183" s="19"/>
      <c r="M183" s="19"/>
      <c r="N183" s="19"/>
      <c r="O183" s="19"/>
      <c r="P183" s="19"/>
      <c r="Q183" s="19"/>
      <c r="R183" s="6"/>
    </row>
    <row r="184" spans="1:18" s="3" customFormat="1" ht="13.5" customHeight="1">
      <c r="A184" s="19" t="s">
        <v>249</v>
      </c>
      <c r="B184" s="20" t="s">
        <v>13</v>
      </c>
      <c r="C184" s="19" t="s">
        <v>13</v>
      </c>
      <c r="D184" s="23"/>
      <c r="E184" s="19" t="s">
        <v>13</v>
      </c>
      <c r="F184" s="23"/>
      <c r="G184" s="19" t="s">
        <v>13</v>
      </c>
      <c r="H184" s="23"/>
      <c r="I184" s="19" t="s">
        <v>13</v>
      </c>
      <c r="J184" s="19"/>
      <c r="K184" s="19"/>
      <c r="L184" s="19"/>
      <c r="M184" s="19" t="s">
        <v>13</v>
      </c>
      <c r="N184" s="19"/>
      <c r="O184" s="19" t="s">
        <v>13</v>
      </c>
      <c r="P184" s="19"/>
      <c r="Q184" s="19" t="s">
        <v>13</v>
      </c>
      <c r="R184" s="6"/>
    </row>
    <row r="185" spans="1:18" s="3" customFormat="1" ht="13.5" customHeight="1">
      <c r="A185" s="19" t="s">
        <v>77</v>
      </c>
      <c r="B185" s="20" t="s">
        <v>13</v>
      </c>
      <c r="C185" s="19">
        <v>0</v>
      </c>
      <c r="D185" s="23"/>
      <c r="E185" s="19">
        <v>0</v>
      </c>
      <c r="F185" s="23"/>
      <c r="G185" s="19">
        <v>7203</v>
      </c>
      <c r="H185" s="23"/>
      <c r="I185" s="19">
        <v>1228</v>
      </c>
      <c r="J185" s="19"/>
      <c r="K185" s="19">
        <f t="shared" si="7"/>
        <v>8431</v>
      </c>
      <c r="L185" s="19"/>
      <c r="M185" s="19">
        <v>0</v>
      </c>
      <c r="N185" s="19"/>
      <c r="O185" s="19">
        <v>8431</v>
      </c>
      <c r="P185" s="19"/>
      <c r="Q185" s="19">
        <v>0</v>
      </c>
      <c r="R185" s="6"/>
    </row>
    <row r="186" spans="1:18" s="3" customFormat="1" ht="13.5" customHeight="1">
      <c r="A186" s="19" t="s">
        <v>46</v>
      </c>
      <c r="B186" s="20" t="s">
        <v>13</v>
      </c>
      <c r="C186" s="19">
        <v>385128</v>
      </c>
      <c r="D186" s="23"/>
      <c r="E186" s="19">
        <v>23694</v>
      </c>
      <c r="F186" s="23"/>
      <c r="G186" s="19">
        <v>27702</v>
      </c>
      <c r="H186" s="23"/>
      <c r="I186" s="19">
        <v>0</v>
      </c>
      <c r="J186" s="19"/>
      <c r="K186" s="19">
        <f t="shared" si="7"/>
        <v>436524</v>
      </c>
      <c r="L186" s="19"/>
      <c r="M186" s="19">
        <v>281489</v>
      </c>
      <c r="N186" s="19"/>
      <c r="O186" s="19">
        <v>65788</v>
      </c>
      <c r="P186" s="19"/>
      <c r="Q186" s="19">
        <f>-1+89248</f>
        <v>89247</v>
      </c>
      <c r="R186" s="6"/>
    </row>
    <row r="187" spans="1:18" s="3" customFormat="1" ht="13.5" customHeight="1">
      <c r="A187" s="19" t="s">
        <v>47</v>
      </c>
      <c r="B187" s="20" t="s">
        <v>13</v>
      </c>
      <c r="C187" s="19">
        <v>0</v>
      </c>
      <c r="D187" s="23"/>
      <c r="E187" s="19">
        <v>0</v>
      </c>
      <c r="F187" s="23"/>
      <c r="G187" s="19">
        <v>15659</v>
      </c>
      <c r="H187" s="23"/>
      <c r="I187" s="19">
        <v>3539</v>
      </c>
      <c r="J187" s="19"/>
      <c r="K187" s="19">
        <f t="shared" si="7"/>
        <v>19198</v>
      </c>
      <c r="L187" s="19"/>
      <c r="M187" s="19">
        <v>15061</v>
      </c>
      <c r="N187" s="19"/>
      <c r="O187" s="19">
        <f>-1+4138</f>
        <v>4137</v>
      </c>
      <c r="P187" s="19"/>
      <c r="Q187" s="19">
        <v>0</v>
      </c>
      <c r="R187" s="6"/>
    </row>
    <row r="188" spans="1:18" s="3" customFormat="1" ht="13.5" customHeight="1">
      <c r="A188" s="19" t="s">
        <v>147</v>
      </c>
      <c r="B188" s="20" t="s">
        <v>13</v>
      </c>
      <c r="C188" s="19">
        <v>112090</v>
      </c>
      <c r="D188" s="23"/>
      <c r="E188" s="19">
        <v>0</v>
      </c>
      <c r="F188" s="23"/>
      <c r="G188" s="19">
        <v>95690</v>
      </c>
      <c r="H188" s="23"/>
      <c r="I188" s="19">
        <v>346480</v>
      </c>
      <c r="J188" s="19"/>
      <c r="K188" s="19">
        <f t="shared" si="7"/>
        <v>554260</v>
      </c>
      <c r="L188" s="19"/>
      <c r="M188" s="19">
        <v>309001</v>
      </c>
      <c r="N188" s="19"/>
      <c r="O188" s="19">
        <v>214799</v>
      </c>
      <c r="P188" s="19"/>
      <c r="Q188" s="19">
        <v>30460</v>
      </c>
      <c r="R188" s="6"/>
    </row>
    <row r="189" spans="1:18" s="3" customFormat="1" ht="13.5" customHeight="1">
      <c r="A189" s="23" t="s">
        <v>31</v>
      </c>
      <c r="B189" s="26" t="s">
        <v>13</v>
      </c>
      <c r="C189" s="19">
        <v>0</v>
      </c>
      <c r="D189" s="23"/>
      <c r="E189" s="19">
        <v>0</v>
      </c>
      <c r="F189" s="23"/>
      <c r="G189" s="19">
        <v>18050</v>
      </c>
      <c r="H189" s="23"/>
      <c r="I189" s="19">
        <v>134427</v>
      </c>
      <c r="J189" s="23"/>
      <c r="K189" s="19">
        <f t="shared" si="7"/>
        <v>152477</v>
      </c>
      <c r="L189" s="23"/>
      <c r="M189" s="19">
        <v>120403</v>
      </c>
      <c r="N189" s="19"/>
      <c r="O189" s="19">
        <f>1+32073</f>
        <v>32074</v>
      </c>
      <c r="P189" s="19"/>
      <c r="Q189" s="19">
        <v>0</v>
      </c>
      <c r="R189" s="6"/>
    </row>
    <row r="190" spans="1:18" s="3" customFormat="1" ht="13.5" customHeight="1">
      <c r="A190" s="23" t="s">
        <v>185</v>
      </c>
      <c r="B190" s="26"/>
      <c r="C190" s="19">
        <v>0</v>
      </c>
      <c r="D190" s="23"/>
      <c r="E190" s="19">
        <v>0</v>
      </c>
      <c r="F190" s="23"/>
      <c r="G190" s="19">
        <v>540</v>
      </c>
      <c r="H190" s="23"/>
      <c r="I190" s="19">
        <v>10000</v>
      </c>
      <c r="J190" s="23"/>
      <c r="K190" s="19">
        <f t="shared" si="7"/>
        <v>10540</v>
      </c>
      <c r="L190" s="23"/>
      <c r="M190" s="19">
        <v>10435</v>
      </c>
      <c r="N190" s="19"/>
      <c r="O190" s="19">
        <v>105</v>
      </c>
      <c r="P190" s="19"/>
      <c r="Q190" s="19">
        <v>0</v>
      </c>
      <c r="R190" s="6"/>
    </row>
    <row r="191" spans="1:18" s="3" customFormat="1" ht="13.5" customHeight="1">
      <c r="A191" s="23" t="s">
        <v>49</v>
      </c>
      <c r="B191" s="26"/>
      <c r="C191" s="19">
        <v>0</v>
      </c>
      <c r="D191" s="23"/>
      <c r="E191" s="19">
        <v>0</v>
      </c>
      <c r="F191" s="23"/>
      <c r="G191" s="19">
        <v>49142</v>
      </c>
      <c r="H191" s="23"/>
      <c r="I191" s="19">
        <v>317</v>
      </c>
      <c r="J191" s="23"/>
      <c r="K191" s="19">
        <f t="shared" si="7"/>
        <v>49459</v>
      </c>
      <c r="L191" s="23"/>
      <c r="M191" s="19">
        <v>1890</v>
      </c>
      <c r="N191" s="19"/>
      <c r="O191" s="19">
        <v>47569</v>
      </c>
      <c r="P191" s="19"/>
      <c r="Q191" s="19">
        <v>0</v>
      </c>
      <c r="R191" s="6"/>
    </row>
    <row r="192" spans="1:18" s="3" customFormat="1" ht="13.5" customHeight="1">
      <c r="A192" s="23" t="s">
        <v>50</v>
      </c>
      <c r="B192" s="26"/>
      <c r="C192" s="19">
        <v>0</v>
      </c>
      <c r="D192" s="23"/>
      <c r="E192" s="19">
        <v>0</v>
      </c>
      <c r="F192" s="23"/>
      <c r="G192" s="19">
        <v>275119</v>
      </c>
      <c r="H192" s="23"/>
      <c r="I192" s="19">
        <v>0</v>
      </c>
      <c r="J192" s="23"/>
      <c r="K192" s="19">
        <f t="shared" si="7"/>
        <v>275119</v>
      </c>
      <c r="L192" s="23"/>
      <c r="M192" s="19">
        <v>0</v>
      </c>
      <c r="N192" s="19"/>
      <c r="O192" s="19">
        <v>275119</v>
      </c>
      <c r="P192" s="19"/>
      <c r="Q192" s="19">
        <v>0</v>
      </c>
      <c r="R192" s="6"/>
    </row>
    <row r="193" spans="1:18" s="4" customFormat="1" ht="13.5" customHeight="1">
      <c r="A193" s="19" t="s">
        <v>216</v>
      </c>
      <c r="B193" s="20"/>
      <c r="C193" s="19">
        <v>16744</v>
      </c>
      <c r="D193" s="23"/>
      <c r="E193" s="19">
        <v>0</v>
      </c>
      <c r="F193" s="23"/>
      <c r="G193" s="19">
        <v>0</v>
      </c>
      <c r="H193" s="23"/>
      <c r="I193" s="19">
        <v>0</v>
      </c>
      <c r="J193" s="19"/>
      <c r="K193" s="21">
        <f t="shared" si="7"/>
        <v>16744</v>
      </c>
      <c r="L193" s="19"/>
      <c r="M193" s="24">
        <v>16725</v>
      </c>
      <c r="N193" s="19"/>
      <c r="O193" s="24">
        <v>19</v>
      </c>
      <c r="P193" s="19"/>
      <c r="Q193" s="24">
        <v>0</v>
      </c>
      <c r="R193" s="7"/>
    </row>
    <row r="194" spans="1:18" s="4" customFormat="1" ht="13.5" customHeight="1">
      <c r="A194" s="19" t="s">
        <v>251</v>
      </c>
      <c r="B194" s="20"/>
      <c r="C194" s="34">
        <f>SUM(C185:C193)</f>
        <v>513962</v>
      </c>
      <c r="D194" s="23"/>
      <c r="E194" s="34">
        <f>SUM(E185:E193)</f>
        <v>23694</v>
      </c>
      <c r="F194" s="23"/>
      <c r="G194" s="34">
        <f>SUM(G185:G193)</f>
        <v>489105</v>
      </c>
      <c r="H194" s="23"/>
      <c r="I194" s="34">
        <f>SUM(I185:I193)</f>
        <v>495991</v>
      </c>
      <c r="J194" s="19"/>
      <c r="K194" s="22">
        <f t="shared" si="7"/>
        <v>1522752</v>
      </c>
      <c r="L194" s="19"/>
      <c r="M194" s="21">
        <f>SUM(M185:M193)</f>
        <v>755004</v>
      </c>
      <c r="N194" s="19"/>
      <c r="O194" s="21">
        <f>SUM(O185:O193)</f>
        <v>648041</v>
      </c>
      <c r="P194" s="19"/>
      <c r="Q194" s="21">
        <f>SUM(Q185:Q193)</f>
        <v>119707</v>
      </c>
      <c r="R194" s="7"/>
    </row>
    <row r="195" spans="1:18" s="4" customFormat="1" ht="13.5" customHeight="1">
      <c r="A195" s="19"/>
      <c r="B195" s="20"/>
      <c r="C195" s="19"/>
      <c r="D195" s="23"/>
      <c r="E195" s="19"/>
      <c r="F195" s="23"/>
      <c r="G195" s="19"/>
      <c r="H195" s="23"/>
      <c r="I195" s="19"/>
      <c r="J195" s="19"/>
      <c r="K195" s="19"/>
      <c r="L195" s="19"/>
      <c r="M195" s="19"/>
      <c r="N195" s="19"/>
      <c r="O195" s="19"/>
      <c r="P195" s="19"/>
      <c r="Q195" s="19"/>
      <c r="R195" s="7"/>
    </row>
    <row r="196" spans="1:18" s="3" customFormat="1" ht="13.5" customHeight="1">
      <c r="A196" s="19" t="s">
        <v>148</v>
      </c>
      <c r="B196" s="20"/>
      <c r="C196" s="21">
        <v>53752</v>
      </c>
      <c r="D196" s="23"/>
      <c r="E196" s="21">
        <v>14812</v>
      </c>
      <c r="F196" s="23"/>
      <c r="G196" s="21">
        <v>54190</v>
      </c>
      <c r="H196" s="23"/>
      <c r="I196" s="21">
        <v>927933</v>
      </c>
      <c r="J196" s="19"/>
      <c r="K196" s="21">
        <f t="shared" si="7"/>
        <v>1050687</v>
      </c>
      <c r="L196" s="19"/>
      <c r="M196" s="24">
        <v>923251</v>
      </c>
      <c r="N196" s="19"/>
      <c r="O196" s="24">
        <v>107894</v>
      </c>
      <c r="P196" s="19"/>
      <c r="Q196" s="24">
        <f>1+19541</f>
        <v>19542</v>
      </c>
      <c r="R196" s="6"/>
    </row>
    <row r="197" spans="1:18" s="3" customFormat="1" ht="13.5" customHeight="1">
      <c r="A197" s="19"/>
      <c r="B197" s="20"/>
      <c r="C197" s="23"/>
      <c r="D197" s="23"/>
      <c r="E197" s="23"/>
      <c r="F197" s="23"/>
      <c r="G197" s="23"/>
      <c r="H197" s="23"/>
      <c r="I197" s="23"/>
      <c r="J197" s="19"/>
      <c r="K197" s="19"/>
      <c r="L197" s="19"/>
      <c r="M197" s="23"/>
      <c r="N197" s="19"/>
      <c r="O197" s="23"/>
      <c r="P197" s="19"/>
      <c r="Q197" s="23"/>
      <c r="R197" s="6"/>
    </row>
    <row r="198" spans="1:18" s="3" customFormat="1" ht="13.5" customHeight="1">
      <c r="A198" s="19" t="s">
        <v>78</v>
      </c>
      <c r="B198" s="20"/>
      <c r="C198" s="21">
        <v>40</v>
      </c>
      <c r="D198" s="23"/>
      <c r="E198" s="21">
        <v>190282</v>
      </c>
      <c r="F198" s="23"/>
      <c r="G198" s="21">
        <v>33632</v>
      </c>
      <c r="H198" s="23"/>
      <c r="I198" s="21">
        <v>2000</v>
      </c>
      <c r="J198" s="19"/>
      <c r="K198" s="21">
        <f>IF(SUM(C198:I198)=SUM(M198:Q198),SUM(C198:I198),SUM(M198:Q198)-SUM(C198:I198))</f>
        <v>225954</v>
      </c>
      <c r="L198" s="19"/>
      <c r="M198" s="24">
        <v>152612</v>
      </c>
      <c r="N198" s="19"/>
      <c r="O198" s="24">
        <v>5906</v>
      </c>
      <c r="P198" s="19"/>
      <c r="Q198" s="24">
        <v>67436</v>
      </c>
      <c r="R198" s="6"/>
    </row>
    <row r="199" spans="1:18" s="3" customFormat="1" ht="13.5" customHeight="1">
      <c r="A199" s="19"/>
      <c r="B199" s="20"/>
      <c r="C199" s="23"/>
      <c r="D199" s="23"/>
      <c r="E199" s="23"/>
      <c r="F199" s="23"/>
      <c r="G199" s="23"/>
      <c r="H199" s="23"/>
      <c r="I199" s="23"/>
      <c r="J199" s="19"/>
      <c r="K199" s="19"/>
      <c r="L199" s="19"/>
      <c r="M199" s="23"/>
      <c r="N199" s="19"/>
      <c r="O199" s="23"/>
      <c r="P199" s="19"/>
      <c r="Q199" s="23"/>
      <c r="R199" s="6"/>
    </row>
    <row r="200" spans="1:18" s="3" customFormat="1" ht="13.5" customHeight="1">
      <c r="A200" s="19" t="s">
        <v>150</v>
      </c>
      <c r="B200" s="20"/>
      <c r="C200" s="21">
        <v>1201447</v>
      </c>
      <c r="D200" s="23"/>
      <c r="E200" s="21">
        <v>2753020</v>
      </c>
      <c r="F200" s="23"/>
      <c r="G200" s="21">
        <v>228389</v>
      </c>
      <c r="H200" s="23"/>
      <c r="I200" s="21">
        <v>251954</v>
      </c>
      <c r="J200" s="19"/>
      <c r="K200" s="24">
        <f>IF(SUM(C200:I200)=SUM(M200:Q200),SUM(C200:I200),SUM(M200:Q200)-SUM(C200:I200))</f>
        <v>4434810</v>
      </c>
      <c r="L200" s="19"/>
      <c r="M200" s="24">
        <v>2615340</v>
      </c>
      <c r="N200" s="19"/>
      <c r="O200" s="24">
        <v>829300</v>
      </c>
      <c r="P200" s="19"/>
      <c r="Q200" s="24">
        <v>990170</v>
      </c>
      <c r="R200" s="6"/>
    </row>
    <row r="201" spans="1:18" s="3" customFormat="1" ht="13.5" customHeight="1">
      <c r="A201" s="19"/>
      <c r="B201" s="20" t="s">
        <v>13</v>
      </c>
      <c r="C201" s="19"/>
      <c r="D201" s="23"/>
      <c r="E201" s="19"/>
      <c r="F201" s="23"/>
      <c r="G201" s="19"/>
      <c r="H201" s="23"/>
      <c r="I201" s="19"/>
      <c r="J201" s="19"/>
      <c r="K201" s="19"/>
      <c r="L201" s="19"/>
      <c r="M201" s="19"/>
      <c r="N201" s="19"/>
      <c r="O201" s="19"/>
      <c r="P201" s="19"/>
      <c r="Q201" s="19"/>
      <c r="R201" s="6"/>
    </row>
    <row r="202" spans="1:18" s="3" customFormat="1" ht="13.5" customHeight="1">
      <c r="A202" s="19" t="s">
        <v>154</v>
      </c>
      <c r="B202" s="20" t="s">
        <v>13</v>
      </c>
      <c r="C202" s="19"/>
      <c r="D202" s="23"/>
      <c r="E202" s="19"/>
      <c r="F202" s="23"/>
      <c r="G202" s="19"/>
      <c r="H202" s="23"/>
      <c r="I202" s="19"/>
      <c r="J202" s="19"/>
      <c r="K202" s="19"/>
      <c r="L202" s="19"/>
      <c r="M202" s="19"/>
      <c r="N202" s="19"/>
      <c r="O202" s="19"/>
      <c r="P202" s="19"/>
      <c r="Q202" s="19"/>
      <c r="R202" s="6"/>
    </row>
    <row r="203" spans="1:18" s="3" customFormat="1" ht="13.5" customHeight="1">
      <c r="A203" s="19" t="s">
        <v>119</v>
      </c>
      <c r="B203" s="20" t="s">
        <v>13</v>
      </c>
      <c r="C203" s="19">
        <v>0</v>
      </c>
      <c r="D203" s="23"/>
      <c r="E203" s="19">
        <v>0</v>
      </c>
      <c r="F203" s="23"/>
      <c r="G203" s="19">
        <v>16225</v>
      </c>
      <c r="H203" s="23"/>
      <c r="I203" s="19">
        <v>1977</v>
      </c>
      <c r="J203" s="19"/>
      <c r="K203" s="19">
        <f aca="true" t="shared" si="8" ref="K203:K208">IF(SUM(C203:I203)=SUM(M203:Q203),SUM(C203:I203),SUM(M203:Q203)-SUM(C203:I203))</f>
        <v>18202</v>
      </c>
      <c r="L203" s="19"/>
      <c r="M203" s="19">
        <v>10000</v>
      </c>
      <c r="N203" s="19"/>
      <c r="O203" s="19">
        <v>8202</v>
      </c>
      <c r="P203" s="19"/>
      <c r="Q203" s="19">
        <v>0</v>
      </c>
      <c r="R203" s="6"/>
    </row>
    <row r="204" spans="1:18" s="3" customFormat="1" ht="13.5" customHeight="1">
      <c r="A204" s="19" t="s">
        <v>217</v>
      </c>
      <c r="B204" s="20" t="s">
        <v>13</v>
      </c>
      <c r="C204" s="19">
        <v>28359</v>
      </c>
      <c r="D204" s="23"/>
      <c r="E204" s="19">
        <v>1330359</v>
      </c>
      <c r="F204" s="23"/>
      <c r="G204" s="19">
        <v>957338</v>
      </c>
      <c r="H204" s="23"/>
      <c r="I204" s="19">
        <v>73386</v>
      </c>
      <c r="J204" s="19"/>
      <c r="K204" s="19">
        <f t="shared" si="8"/>
        <v>2389442</v>
      </c>
      <c r="L204" s="19"/>
      <c r="M204" s="19">
        <v>1386698</v>
      </c>
      <c r="N204" s="19"/>
      <c r="O204" s="19">
        <v>389625</v>
      </c>
      <c r="P204" s="19"/>
      <c r="Q204" s="19">
        <f>1+613118</f>
        <v>613119</v>
      </c>
      <c r="R204" s="6"/>
    </row>
    <row r="205" spans="1:18" s="3" customFormat="1" ht="13.5" customHeight="1">
      <c r="A205" s="19" t="s">
        <v>126</v>
      </c>
      <c r="B205" s="20" t="s">
        <v>13</v>
      </c>
      <c r="C205" s="19">
        <v>0</v>
      </c>
      <c r="D205" s="23"/>
      <c r="E205" s="19">
        <v>10477</v>
      </c>
      <c r="F205" s="23"/>
      <c r="G205" s="19">
        <v>77045</v>
      </c>
      <c r="H205" s="23"/>
      <c r="I205" s="19">
        <v>85013</v>
      </c>
      <c r="J205" s="19"/>
      <c r="K205" s="19">
        <f t="shared" si="8"/>
        <v>172535</v>
      </c>
      <c r="L205" s="19"/>
      <c r="M205" s="19">
        <v>126792</v>
      </c>
      <c r="N205" s="19"/>
      <c r="O205" s="19">
        <v>45088</v>
      </c>
      <c r="P205" s="19"/>
      <c r="Q205" s="19">
        <v>655</v>
      </c>
      <c r="R205" s="6"/>
    </row>
    <row r="206" spans="1:18" s="3" customFormat="1" ht="13.5" customHeight="1">
      <c r="A206" s="19" t="s">
        <v>127</v>
      </c>
      <c r="B206" s="20" t="s">
        <v>13</v>
      </c>
      <c r="C206" s="19">
        <v>3279109</v>
      </c>
      <c r="D206" s="23"/>
      <c r="E206" s="19">
        <v>1561709</v>
      </c>
      <c r="F206" s="23"/>
      <c r="G206" s="19">
        <v>2340898</v>
      </c>
      <c r="H206" s="23"/>
      <c r="I206" s="19">
        <v>342137</v>
      </c>
      <c r="J206" s="19"/>
      <c r="K206" s="19">
        <f t="shared" si="8"/>
        <v>7523853</v>
      </c>
      <c r="L206" s="19"/>
      <c r="M206" s="19">
        <v>3969191</v>
      </c>
      <c r="N206" s="19"/>
      <c r="O206" s="19">
        <v>1695918</v>
      </c>
      <c r="P206" s="19"/>
      <c r="Q206" s="19">
        <f>1+1858743</f>
        <v>1858744</v>
      </c>
      <c r="R206" s="6"/>
    </row>
    <row r="207" spans="1:18" s="3" customFormat="1" ht="13.5" customHeight="1">
      <c r="A207" s="19" t="s">
        <v>128</v>
      </c>
      <c r="B207" s="20" t="s">
        <v>13</v>
      </c>
      <c r="C207" s="19">
        <v>0</v>
      </c>
      <c r="D207" s="23"/>
      <c r="E207" s="19">
        <v>0</v>
      </c>
      <c r="F207" s="23"/>
      <c r="G207" s="19">
        <v>0</v>
      </c>
      <c r="H207" s="23"/>
      <c r="I207" s="19">
        <v>306</v>
      </c>
      <c r="J207" s="19"/>
      <c r="K207" s="19">
        <f t="shared" si="8"/>
        <v>306</v>
      </c>
      <c r="L207" s="19"/>
      <c r="M207" s="24">
        <v>0</v>
      </c>
      <c r="N207" s="19"/>
      <c r="O207" s="24">
        <v>306</v>
      </c>
      <c r="P207" s="19"/>
      <c r="Q207" s="24">
        <v>0</v>
      </c>
      <c r="R207" s="6"/>
    </row>
    <row r="208" spans="1:18" s="3" customFormat="1" ht="13.5" customHeight="1">
      <c r="A208" s="19" t="s">
        <v>160</v>
      </c>
      <c r="B208" s="20" t="s">
        <v>13</v>
      </c>
      <c r="C208" s="34">
        <f>SUM(C203:C207)</f>
        <v>3307468</v>
      </c>
      <c r="D208" s="23"/>
      <c r="E208" s="34">
        <f>SUM(E203:E207)</f>
        <v>2902545</v>
      </c>
      <c r="F208" s="23"/>
      <c r="G208" s="34">
        <f>SUM(G203:G207)</f>
        <v>3391506</v>
      </c>
      <c r="H208" s="23"/>
      <c r="I208" s="34">
        <f>SUM(I203:I207)</f>
        <v>502819</v>
      </c>
      <c r="J208" s="19"/>
      <c r="K208" s="22">
        <f t="shared" si="8"/>
        <v>10104338</v>
      </c>
      <c r="L208" s="19"/>
      <c r="M208" s="21">
        <f>SUM(M203:M207)</f>
        <v>5492681</v>
      </c>
      <c r="N208" s="19"/>
      <c r="O208" s="21">
        <f>SUM(O203:O207)</f>
        <v>2139139</v>
      </c>
      <c r="P208" s="19"/>
      <c r="Q208" s="21">
        <f>SUM(Q203:Q207)</f>
        <v>2472518</v>
      </c>
      <c r="R208" s="6"/>
    </row>
    <row r="209" spans="1:18" s="3" customFormat="1" ht="13.5" customHeight="1">
      <c r="A209" s="19"/>
      <c r="B209" s="20" t="s">
        <v>13</v>
      </c>
      <c r="C209" s="19"/>
      <c r="D209" s="23"/>
      <c r="E209" s="19"/>
      <c r="F209" s="23"/>
      <c r="G209" s="19"/>
      <c r="H209" s="23"/>
      <c r="I209" s="19"/>
      <c r="J209" s="19"/>
      <c r="K209" s="19"/>
      <c r="L209" s="19"/>
      <c r="M209" s="19"/>
      <c r="N209" s="19"/>
      <c r="O209" s="19"/>
      <c r="P209" s="19"/>
      <c r="Q209" s="19"/>
      <c r="R209" s="6"/>
    </row>
    <row r="210" spans="1:18" s="3" customFormat="1" ht="13.5" customHeight="1">
      <c r="A210" s="19" t="s">
        <v>16</v>
      </c>
      <c r="B210" s="20" t="s">
        <v>13</v>
      </c>
      <c r="C210" s="19" t="s">
        <v>13</v>
      </c>
      <c r="D210" s="23"/>
      <c r="E210" s="19" t="s">
        <v>13</v>
      </c>
      <c r="F210" s="23"/>
      <c r="G210" s="19" t="s">
        <v>13</v>
      </c>
      <c r="H210" s="23"/>
      <c r="I210" s="19" t="s">
        <v>13</v>
      </c>
      <c r="J210" s="19"/>
      <c r="K210" s="19"/>
      <c r="L210" s="19"/>
      <c r="M210" s="19" t="s">
        <v>13</v>
      </c>
      <c r="N210" s="19"/>
      <c r="O210" s="19" t="s">
        <v>13</v>
      </c>
      <c r="P210" s="19"/>
      <c r="Q210" s="19" t="s">
        <v>13</v>
      </c>
      <c r="R210" s="6"/>
    </row>
    <row r="211" spans="1:18" s="3" customFormat="1" ht="13.5" customHeight="1">
      <c r="A211" s="19" t="s">
        <v>273</v>
      </c>
      <c r="B211" s="20"/>
      <c r="C211" s="19">
        <v>53187</v>
      </c>
      <c r="D211" s="23"/>
      <c r="E211" s="19">
        <v>590045</v>
      </c>
      <c r="F211" s="23"/>
      <c r="G211" s="19">
        <v>1900</v>
      </c>
      <c r="H211" s="23"/>
      <c r="I211" s="19">
        <v>20581</v>
      </c>
      <c r="J211" s="19"/>
      <c r="K211" s="19">
        <f>IF(SUM(C211:I211)=SUM(M211:Q211),SUM(C211:I211),SUM(M211:Q211)-SUM(C211:I211))</f>
        <v>665713</v>
      </c>
      <c r="L211" s="19"/>
      <c r="M211" s="19">
        <v>304559</v>
      </c>
      <c r="N211" s="19"/>
      <c r="O211" s="19">
        <v>164334</v>
      </c>
      <c r="P211" s="19"/>
      <c r="Q211" s="19">
        <v>196820</v>
      </c>
      <c r="R211" s="6"/>
    </row>
    <row r="212" spans="1:18" s="3" customFormat="1" ht="13.5" customHeight="1">
      <c r="A212" s="19" t="s">
        <v>208</v>
      </c>
      <c r="B212" s="20"/>
      <c r="C212" s="19">
        <v>525940</v>
      </c>
      <c r="D212" s="23"/>
      <c r="E212" s="19">
        <v>0</v>
      </c>
      <c r="F212" s="23"/>
      <c r="G212" s="19">
        <v>217187</v>
      </c>
      <c r="H212" s="23"/>
      <c r="I212" s="19">
        <v>0</v>
      </c>
      <c r="J212" s="19"/>
      <c r="K212" s="19">
        <f aca="true" t="shared" si="9" ref="K212:K226">IF(SUM(C212:I212)=SUM(M212:Q212),SUM(C212:I212),SUM(M212:Q212)-SUM(C212:I212))</f>
        <v>743127</v>
      </c>
      <c r="L212" s="19"/>
      <c r="M212" s="19">
        <v>610039</v>
      </c>
      <c r="N212" s="19"/>
      <c r="O212" s="19">
        <v>17758</v>
      </c>
      <c r="P212" s="19"/>
      <c r="Q212" s="19">
        <f>-1+115331</f>
        <v>115330</v>
      </c>
      <c r="R212" s="6"/>
    </row>
    <row r="213" spans="1:18" s="3" customFormat="1" ht="13.5" customHeight="1">
      <c r="A213" s="19" t="s">
        <v>80</v>
      </c>
      <c r="B213" s="20" t="s">
        <v>13</v>
      </c>
      <c r="C213" s="19">
        <v>417222</v>
      </c>
      <c r="D213" s="23"/>
      <c r="E213" s="19">
        <v>1684776</v>
      </c>
      <c r="F213" s="23"/>
      <c r="G213" s="19">
        <v>1222052</v>
      </c>
      <c r="H213" s="23"/>
      <c r="I213" s="19">
        <v>267873</v>
      </c>
      <c r="J213" s="19"/>
      <c r="K213" s="19">
        <f t="shared" si="9"/>
        <v>3591923</v>
      </c>
      <c r="L213" s="19"/>
      <c r="M213" s="19">
        <v>1816588</v>
      </c>
      <c r="N213" s="19"/>
      <c r="O213" s="19">
        <v>1118987</v>
      </c>
      <c r="P213" s="19"/>
      <c r="Q213" s="19">
        <f>-1+656349</f>
        <v>656348</v>
      </c>
      <c r="R213" s="6"/>
    </row>
    <row r="214" spans="1:18" s="3" customFormat="1" ht="13.5" customHeight="1">
      <c r="A214" s="19" t="s">
        <v>56</v>
      </c>
      <c r="B214" s="20" t="s">
        <v>13</v>
      </c>
      <c r="C214" s="19">
        <v>1157457</v>
      </c>
      <c r="D214" s="23"/>
      <c r="E214" s="19">
        <v>804470</v>
      </c>
      <c r="F214" s="23"/>
      <c r="G214" s="19">
        <v>1229765</v>
      </c>
      <c r="H214" s="23"/>
      <c r="I214" s="19">
        <v>247349</v>
      </c>
      <c r="J214" s="19"/>
      <c r="K214" s="19">
        <f t="shared" si="9"/>
        <v>3439041</v>
      </c>
      <c r="L214" s="19"/>
      <c r="M214" s="19">
        <v>2094362</v>
      </c>
      <c r="N214" s="19"/>
      <c r="O214" s="19">
        <v>677381</v>
      </c>
      <c r="P214" s="19"/>
      <c r="Q214" s="19">
        <v>667298</v>
      </c>
      <c r="R214" s="6"/>
    </row>
    <row r="215" spans="1:18" s="3" customFormat="1" ht="13.5" customHeight="1">
      <c r="A215" s="19" t="s">
        <v>268</v>
      </c>
      <c r="B215" s="20"/>
      <c r="C215" s="19">
        <v>191410</v>
      </c>
      <c r="D215" s="23"/>
      <c r="E215" s="19">
        <v>26680</v>
      </c>
      <c r="F215" s="23"/>
      <c r="G215" s="19">
        <v>220611</v>
      </c>
      <c r="H215" s="23"/>
      <c r="I215" s="19">
        <v>72906</v>
      </c>
      <c r="J215" s="19"/>
      <c r="K215" s="19">
        <f t="shared" si="9"/>
        <v>511607</v>
      </c>
      <c r="L215" s="19"/>
      <c r="M215" s="19">
        <v>272881</v>
      </c>
      <c r="N215" s="19"/>
      <c r="O215" s="19">
        <v>140794</v>
      </c>
      <c r="P215" s="19"/>
      <c r="Q215" s="19">
        <v>97932</v>
      </c>
      <c r="R215" s="6"/>
    </row>
    <row r="216" spans="1:18" s="3" customFormat="1" ht="13.5" customHeight="1">
      <c r="A216" s="19" t="s">
        <v>57</v>
      </c>
      <c r="B216" s="20" t="s">
        <v>13</v>
      </c>
      <c r="C216" s="19">
        <v>554121</v>
      </c>
      <c r="D216" s="23"/>
      <c r="E216" s="19">
        <v>1100554</v>
      </c>
      <c r="F216" s="23"/>
      <c r="G216" s="19">
        <v>737759</v>
      </c>
      <c r="H216" s="23"/>
      <c r="I216" s="19">
        <v>109289</v>
      </c>
      <c r="J216" s="19"/>
      <c r="K216" s="19">
        <f t="shared" si="9"/>
        <v>2501723</v>
      </c>
      <c r="L216" s="19"/>
      <c r="M216" s="19">
        <v>1602933</v>
      </c>
      <c r="N216" s="19"/>
      <c r="O216" s="19">
        <v>344805</v>
      </c>
      <c r="P216" s="19"/>
      <c r="Q216" s="19">
        <v>553985</v>
      </c>
      <c r="R216" s="6"/>
    </row>
    <row r="217" spans="1:18" s="3" customFormat="1" ht="13.5" customHeight="1">
      <c r="A217" s="19" t="s">
        <v>81</v>
      </c>
      <c r="B217" s="20" t="s">
        <v>13</v>
      </c>
      <c r="C217" s="19">
        <v>0</v>
      </c>
      <c r="D217" s="23"/>
      <c r="E217" s="19">
        <v>0</v>
      </c>
      <c r="F217" s="23"/>
      <c r="G217" s="19">
        <v>77395</v>
      </c>
      <c r="H217" s="23"/>
      <c r="I217" s="19">
        <v>0</v>
      </c>
      <c r="J217" s="19"/>
      <c r="K217" s="19">
        <f t="shared" si="9"/>
        <v>77395</v>
      </c>
      <c r="L217" s="19"/>
      <c r="M217" s="19">
        <v>61037</v>
      </c>
      <c r="N217" s="19"/>
      <c r="O217" s="19">
        <v>388</v>
      </c>
      <c r="P217" s="19"/>
      <c r="Q217" s="19">
        <v>15970</v>
      </c>
      <c r="R217" s="6"/>
    </row>
    <row r="218" spans="1:18" s="3" customFormat="1" ht="13.5" customHeight="1">
      <c r="A218" s="19" t="s">
        <v>31</v>
      </c>
      <c r="B218" s="20" t="s">
        <v>13</v>
      </c>
      <c r="C218" s="19">
        <v>228023</v>
      </c>
      <c r="D218" s="23"/>
      <c r="E218" s="19">
        <v>8805</v>
      </c>
      <c r="F218" s="23"/>
      <c r="G218" s="19">
        <v>623643</v>
      </c>
      <c r="H218" s="23"/>
      <c r="I218" s="19">
        <v>195787</v>
      </c>
      <c r="J218" s="19"/>
      <c r="K218" s="19">
        <f t="shared" si="9"/>
        <v>1056258</v>
      </c>
      <c r="L218" s="19"/>
      <c r="M218" s="19">
        <v>789739</v>
      </c>
      <c r="N218" s="19"/>
      <c r="O218" s="19">
        <v>226260</v>
      </c>
      <c r="P218" s="19"/>
      <c r="Q218" s="19">
        <v>40259</v>
      </c>
      <c r="R218" s="6"/>
    </row>
    <row r="219" spans="1:18" s="3" customFormat="1" ht="13.5" customHeight="1">
      <c r="A219" s="19" t="s">
        <v>30</v>
      </c>
      <c r="B219" s="20" t="s">
        <v>13</v>
      </c>
      <c r="C219" s="19">
        <v>5876507</v>
      </c>
      <c r="D219" s="23"/>
      <c r="E219" s="19">
        <v>0</v>
      </c>
      <c r="F219" s="23"/>
      <c r="G219" s="19">
        <v>57540</v>
      </c>
      <c r="H219" s="23"/>
      <c r="I219" s="19">
        <v>19363</v>
      </c>
      <c r="J219" s="19"/>
      <c r="K219" s="19">
        <f t="shared" si="9"/>
        <v>5953410</v>
      </c>
      <c r="L219" s="19"/>
      <c r="M219" s="19">
        <v>3531727</v>
      </c>
      <c r="N219" s="19"/>
      <c r="O219" s="19">
        <v>1501162</v>
      </c>
      <c r="P219" s="19"/>
      <c r="Q219" s="19">
        <f>1+920520</f>
        <v>920521</v>
      </c>
      <c r="R219" s="6"/>
    </row>
    <row r="220" spans="1:18" s="3" customFormat="1" ht="13.5" customHeight="1">
      <c r="A220" s="19" t="s">
        <v>269</v>
      </c>
      <c r="B220" s="20" t="s">
        <v>13</v>
      </c>
      <c r="C220" s="19">
        <v>2375322</v>
      </c>
      <c r="D220" s="23"/>
      <c r="E220" s="19">
        <v>441625</v>
      </c>
      <c r="F220" s="23"/>
      <c r="G220" s="19">
        <v>1128456</v>
      </c>
      <c r="H220" s="23"/>
      <c r="I220" s="19">
        <v>368411</v>
      </c>
      <c r="J220" s="19"/>
      <c r="K220" s="19">
        <f t="shared" si="9"/>
        <v>4313814</v>
      </c>
      <c r="L220" s="19"/>
      <c r="M220" s="19">
        <v>1626963</v>
      </c>
      <c r="N220" s="19"/>
      <c r="O220" s="19">
        <v>2106244</v>
      </c>
      <c r="P220" s="19"/>
      <c r="Q220" s="19">
        <v>580607</v>
      </c>
      <c r="R220" s="6"/>
    </row>
    <row r="221" spans="1:18" s="3" customFormat="1" ht="13.5" customHeight="1">
      <c r="A221" s="19" t="s">
        <v>58</v>
      </c>
      <c r="B221" s="20" t="s">
        <v>13</v>
      </c>
      <c r="C221" s="19">
        <v>159311</v>
      </c>
      <c r="D221" s="23"/>
      <c r="E221" s="19">
        <v>344165</v>
      </c>
      <c r="F221" s="23"/>
      <c r="G221" s="19">
        <v>1073527</v>
      </c>
      <c r="H221" s="23"/>
      <c r="I221" s="19">
        <v>109198</v>
      </c>
      <c r="J221" s="19"/>
      <c r="K221" s="19">
        <f t="shared" si="9"/>
        <v>1686201</v>
      </c>
      <c r="L221" s="19"/>
      <c r="M221" s="19">
        <v>922052</v>
      </c>
      <c r="N221" s="19"/>
      <c r="O221" s="19">
        <v>396740</v>
      </c>
      <c r="P221" s="19"/>
      <c r="Q221" s="19">
        <f>-1+367410</f>
        <v>367409</v>
      </c>
      <c r="R221" s="6"/>
    </row>
    <row r="222" spans="1:18" s="3" customFormat="1" ht="13.5" customHeight="1">
      <c r="A222" s="19" t="s">
        <v>153</v>
      </c>
      <c r="B222" s="20"/>
      <c r="C222" s="19">
        <v>87569</v>
      </c>
      <c r="D222" s="23"/>
      <c r="E222" s="19">
        <v>40</v>
      </c>
      <c r="F222" s="23"/>
      <c r="G222" s="19">
        <v>64274</v>
      </c>
      <c r="H222" s="23"/>
      <c r="I222" s="19">
        <v>16990</v>
      </c>
      <c r="J222" s="19"/>
      <c r="K222" s="19">
        <f t="shared" si="9"/>
        <v>168873</v>
      </c>
      <c r="L222" s="19"/>
      <c r="M222" s="19">
        <v>71497</v>
      </c>
      <c r="N222" s="19"/>
      <c r="O222" s="19">
        <v>73955</v>
      </c>
      <c r="P222" s="19"/>
      <c r="Q222" s="19">
        <v>23421</v>
      </c>
      <c r="R222" s="6"/>
    </row>
    <row r="223" spans="1:18" s="3" customFormat="1" ht="13.5" customHeight="1">
      <c r="A223" s="19" t="s">
        <v>82</v>
      </c>
      <c r="B223" s="20" t="s">
        <v>13</v>
      </c>
      <c r="C223" s="19">
        <v>0</v>
      </c>
      <c r="D223" s="23"/>
      <c r="E223" s="19">
        <v>81978</v>
      </c>
      <c r="F223" s="23"/>
      <c r="G223" s="19">
        <v>0</v>
      </c>
      <c r="H223" s="23"/>
      <c r="I223" s="19">
        <v>0</v>
      </c>
      <c r="J223" s="19"/>
      <c r="K223" s="21">
        <f t="shared" si="9"/>
        <v>81978</v>
      </c>
      <c r="L223" s="19"/>
      <c r="M223" s="24">
        <v>74913</v>
      </c>
      <c r="N223" s="19"/>
      <c r="O223" s="24">
        <v>7065</v>
      </c>
      <c r="P223" s="19"/>
      <c r="Q223" s="24">
        <v>0</v>
      </c>
      <c r="R223" s="6"/>
    </row>
    <row r="224" spans="1:18" s="3" customFormat="1" ht="13.5" customHeight="1">
      <c r="A224" s="19" t="s">
        <v>129</v>
      </c>
      <c r="B224" s="20" t="s">
        <v>13</v>
      </c>
      <c r="C224" s="34">
        <f>SUM(C211:C223)</f>
        <v>11626069</v>
      </c>
      <c r="D224" s="23"/>
      <c r="E224" s="34">
        <f>SUM(E211:E223)</f>
        <v>5083138</v>
      </c>
      <c r="F224" s="23"/>
      <c r="G224" s="34">
        <f>SUM(G211:G223)</f>
        <v>6654109</v>
      </c>
      <c r="H224" s="23"/>
      <c r="I224" s="34">
        <f>SUM(I211:I223)</f>
        <v>1427747</v>
      </c>
      <c r="J224" s="19"/>
      <c r="K224" s="22">
        <f t="shared" si="9"/>
        <v>24791063</v>
      </c>
      <c r="L224" s="19"/>
      <c r="M224" s="21">
        <f>SUM(M211:M223)</f>
        <v>13779290</v>
      </c>
      <c r="N224" s="19"/>
      <c r="O224" s="21">
        <f>SUM(O211:O223)</f>
        <v>6775873</v>
      </c>
      <c r="P224" s="19"/>
      <c r="Q224" s="21">
        <f>SUM(Q211:Q223)</f>
        <v>4235900</v>
      </c>
      <c r="R224" s="6"/>
    </row>
    <row r="225" spans="1:18" s="3" customFormat="1" ht="13.5" customHeight="1">
      <c r="A225" s="19"/>
      <c r="B225" s="20" t="s">
        <v>13</v>
      </c>
      <c r="C225" s="19"/>
      <c r="D225" s="23"/>
      <c r="E225" s="19"/>
      <c r="F225" s="23"/>
      <c r="G225" s="19"/>
      <c r="H225" s="23"/>
      <c r="I225" s="19"/>
      <c r="J225" s="19"/>
      <c r="K225" s="19"/>
      <c r="L225" s="19"/>
      <c r="M225" s="19"/>
      <c r="N225" s="19"/>
      <c r="O225" s="19"/>
      <c r="P225" s="19"/>
      <c r="Q225" s="19"/>
      <c r="R225" s="6"/>
    </row>
    <row r="226" spans="1:18" s="3" customFormat="1" ht="13.5" customHeight="1">
      <c r="A226" s="19" t="s">
        <v>189</v>
      </c>
      <c r="B226" s="20"/>
      <c r="C226" s="21">
        <v>0</v>
      </c>
      <c r="D226" s="23"/>
      <c r="E226" s="21">
        <v>22043</v>
      </c>
      <c r="F226" s="23"/>
      <c r="G226" s="21">
        <v>10627</v>
      </c>
      <c r="H226" s="23"/>
      <c r="I226" s="21">
        <v>0</v>
      </c>
      <c r="J226" s="19"/>
      <c r="K226" s="21">
        <f t="shared" si="9"/>
        <v>32670</v>
      </c>
      <c r="L226" s="19"/>
      <c r="M226" s="24">
        <v>6235</v>
      </c>
      <c r="N226" s="19"/>
      <c r="O226" s="24">
        <v>19693</v>
      </c>
      <c r="P226" s="19"/>
      <c r="Q226" s="24">
        <f>1+6741</f>
        <v>6742</v>
      </c>
      <c r="R226" s="6"/>
    </row>
    <row r="227" spans="1:18" s="3" customFormat="1" ht="13.5" customHeight="1">
      <c r="A227" s="19"/>
      <c r="B227" s="20"/>
      <c r="C227" s="19"/>
      <c r="D227" s="23"/>
      <c r="E227" s="19"/>
      <c r="F227" s="23"/>
      <c r="G227" s="19"/>
      <c r="H227" s="23"/>
      <c r="I227" s="19"/>
      <c r="J227" s="19"/>
      <c r="K227" s="19"/>
      <c r="L227" s="19"/>
      <c r="M227" s="19"/>
      <c r="N227" s="19"/>
      <c r="O227" s="19"/>
      <c r="P227" s="19"/>
      <c r="Q227" s="19"/>
      <c r="R227" s="6"/>
    </row>
    <row r="228" spans="1:18" s="3" customFormat="1" ht="13.5" customHeight="1">
      <c r="A228" s="19" t="s">
        <v>83</v>
      </c>
      <c r="B228" s="20" t="s">
        <v>13</v>
      </c>
      <c r="C228" s="21">
        <v>0</v>
      </c>
      <c r="D228" s="23"/>
      <c r="E228" s="21">
        <v>0</v>
      </c>
      <c r="F228" s="23"/>
      <c r="G228" s="21">
        <v>50273</v>
      </c>
      <c r="H228" s="23"/>
      <c r="I228" s="21">
        <v>36985</v>
      </c>
      <c r="J228" s="19"/>
      <c r="K228" s="21">
        <f>IF(SUM(C228:I228)=SUM(M228:Q228),SUM(C228:I228),SUM(M228:Q228)-SUM(C228:I228))</f>
        <v>87258</v>
      </c>
      <c r="L228" s="19"/>
      <c r="M228" s="24">
        <v>0</v>
      </c>
      <c r="N228" s="19"/>
      <c r="O228" s="24">
        <v>87258</v>
      </c>
      <c r="P228" s="19"/>
      <c r="Q228" s="24">
        <v>0</v>
      </c>
      <c r="R228" s="6"/>
    </row>
    <row r="229" spans="1:18" s="3" customFormat="1" ht="13.5" customHeight="1">
      <c r="A229" s="19"/>
      <c r="B229" s="20"/>
      <c r="C229" s="23"/>
      <c r="D229" s="23"/>
      <c r="E229" s="23"/>
      <c r="F229" s="23"/>
      <c r="G229" s="23"/>
      <c r="H229" s="23"/>
      <c r="I229" s="23"/>
      <c r="J229" s="19"/>
      <c r="K229" s="23"/>
      <c r="L229" s="19"/>
      <c r="M229" s="23"/>
      <c r="N229" s="19"/>
      <c r="O229" s="23"/>
      <c r="P229" s="19"/>
      <c r="Q229" s="23"/>
      <c r="R229" s="6"/>
    </row>
    <row r="230" spans="1:18" s="3" customFormat="1" ht="13.5" customHeight="1">
      <c r="A230" s="19" t="s">
        <v>60</v>
      </c>
      <c r="B230" s="20" t="s">
        <v>13</v>
      </c>
      <c r="C230" s="21">
        <v>0</v>
      </c>
      <c r="D230" s="23"/>
      <c r="E230" s="21">
        <v>0</v>
      </c>
      <c r="F230" s="23"/>
      <c r="G230" s="21">
        <v>7783</v>
      </c>
      <c r="H230" s="23"/>
      <c r="I230" s="21">
        <v>0</v>
      </c>
      <c r="J230" s="19"/>
      <c r="K230" s="21">
        <f>IF(SUM(C230:I230)=SUM(M230:Q230),SUM(C230:I230),SUM(M230:Q230)-SUM(C230:I230))</f>
        <v>7783</v>
      </c>
      <c r="L230" s="19"/>
      <c r="M230" s="24">
        <v>0</v>
      </c>
      <c r="N230" s="19"/>
      <c r="O230" s="24">
        <v>7783</v>
      </c>
      <c r="P230" s="19"/>
      <c r="Q230" s="24">
        <v>0</v>
      </c>
      <c r="R230" s="6"/>
    </row>
    <row r="231" spans="1:18" s="3" customFormat="1" ht="13.5" customHeight="1">
      <c r="A231" s="19"/>
      <c r="B231" s="20" t="s">
        <v>13</v>
      </c>
      <c r="C231" s="19"/>
      <c r="D231" s="23"/>
      <c r="E231" s="19"/>
      <c r="F231" s="23"/>
      <c r="G231" s="19"/>
      <c r="H231" s="23"/>
      <c r="I231" s="19"/>
      <c r="J231" s="19"/>
      <c r="K231" s="19"/>
      <c r="L231" s="19"/>
      <c r="M231" s="19"/>
      <c r="N231" s="19"/>
      <c r="O231" s="19"/>
      <c r="P231" s="19"/>
      <c r="Q231" s="19"/>
      <c r="R231" s="6"/>
    </row>
    <row r="232" spans="1:18" s="3" customFormat="1" ht="13.5" customHeight="1">
      <c r="A232" s="19" t="s">
        <v>232</v>
      </c>
      <c r="B232" s="20" t="s">
        <v>13</v>
      </c>
      <c r="C232" s="19" t="s">
        <v>13</v>
      </c>
      <c r="D232" s="23"/>
      <c r="E232" s="19" t="s">
        <v>13</v>
      </c>
      <c r="F232" s="23"/>
      <c r="G232" s="19" t="s">
        <v>13</v>
      </c>
      <c r="H232" s="23"/>
      <c r="I232" s="19"/>
      <c r="J232" s="19"/>
      <c r="K232" s="19"/>
      <c r="L232" s="19"/>
      <c r="M232" s="19" t="s">
        <v>13</v>
      </c>
      <c r="N232" s="19"/>
      <c r="O232" s="19" t="s">
        <v>13</v>
      </c>
      <c r="P232" s="19"/>
      <c r="Q232" s="19" t="s">
        <v>13</v>
      </c>
      <c r="R232" s="6"/>
    </row>
    <row r="233" spans="1:18" s="3" customFormat="1" ht="13.5" customHeight="1">
      <c r="A233" s="19" t="s">
        <v>71</v>
      </c>
      <c r="B233" s="20" t="s">
        <v>13</v>
      </c>
      <c r="C233" s="19">
        <v>92814</v>
      </c>
      <c r="D233" s="23"/>
      <c r="E233" s="19">
        <v>111646</v>
      </c>
      <c r="F233" s="23"/>
      <c r="G233" s="19">
        <v>0</v>
      </c>
      <c r="H233" s="23"/>
      <c r="I233" s="19">
        <v>12926</v>
      </c>
      <c r="J233" s="19"/>
      <c r="K233" s="19">
        <f aca="true" t="shared" si="10" ref="K233:K246">IF(SUM(C233:I233)=SUM(M233:Q233),SUM(C233:I233),SUM(M233:Q233)-SUM(C233:I233))</f>
        <v>217386</v>
      </c>
      <c r="L233" s="19"/>
      <c r="M233" s="19">
        <v>129429</v>
      </c>
      <c r="N233" s="19"/>
      <c r="O233" s="19">
        <v>37385</v>
      </c>
      <c r="P233" s="19"/>
      <c r="Q233" s="19">
        <f>1+50571</f>
        <v>50572</v>
      </c>
      <c r="R233" s="6"/>
    </row>
    <row r="234" spans="1:18" s="3" customFormat="1" ht="13.5" customHeight="1">
      <c r="A234" s="19" t="s">
        <v>117</v>
      </c>
      <c r="B234" s="20"/>
      <c r="C234" s="19">
        <v>111940</v>
      </c>
      <c r="D234" s="23"/>
      <c r="E234" s="19">
        <v>0</v>
      </c>
      <c r="F234" s="23"/>
      <c r="G234" s="19">
        <v>0</v>
      </c>
      <c r="H234" s="23"/>
      <c r="I234" s="19">
        <v>7125</v>
      </c>
      <c r="J234" s="19"/>
      <c r="K234" s="19">
        <f t="shared" si="10"/>
        <v>119065</v>
      </c>
      <c r="L234" s="19"/>
      <c r="M234" s="19">
        <v>0</v>
      </c>
      <c r="N234" s="19"/>
      <c r="O234" s="19">
        <v>119065</v>
      </c>
      <c r="P234" s="19"/>
      <c r="Q234" s="19">
        <v>0</v>
      </c>
      <c r="R234" s="6"/>
    </row>
    <row r="235" spans="1:18" s="3" customFormat="1" ht="13.5" customHeight="1">
      <c r="A235" s="19" t="s">
        <v>72</v>
      </c>
      <c r="B235" s="20" t="s">
        <v>13</v>
      </c>
      <c r="C235" s="19">
        <v>92450</v>
      </c>
      <c r="D235" s="23"/>
      <c r="E235" s="19">
        <v>0</v>
      </c>
      <c r="F235" s="23"/>
      <c r="G235" s="19">
        <v>24172</v>
      </c>
      <c r="H235" s="23"/>
      <c r="I235" s="19">
        <v>25233</v>
      </c>
      <c r="J235" s="19"/>
      <c r="K235" s="19">
        <f t="shared" si="10"/>
        <v>141855</v>
      </c>
      <c r="L235" s="19"/>
      <c r="M235" s="19">
        <v>119485</v>
      </c>
      <c r="N235" s="19"/>
      <c r="O235" s="19">
        <f>1+22369</f>
        <v>22370</v>
      </c>
      <c r="P235" s="19"/>
      <c r="Q235" s="19">
        <v>0</v>
      </c>
      <c r="R235" s="6"/>
    </row>
    <row r="236" spans="1:18" s="3" customFormat="1" ht="13.5" customHeight="1">
      <c r="A236" s="19" t="s">
        <v>73</v>
      </c>
      <c r="B236" s="20" t="s">
        <v>13</v>
      </c>
      <c r="C236" s="19">
        <v>0</v>
      </c>
      <c r="D236" s="23"/>
      <c r="E236" s="19">
        <v>0</v>
      </c>
      <c r="F236" s="23"/>
      <c r="G236" s="19">
        <v>3060</v>
      </c>
      <c r="H236" s="23"/>
      <c r="I236" s="19">
        <v>5000</v>
      </c>
      <c r="J236" s="19"/>
      <c r="K236" s="19">
        <f t="shared" si="10"/>
        <v>8060</v>
      </c>
      <c r="L236" s="19"/>
      <c r="M236" s="19">
        <v>5000</v>
      </c>
      <c r="N236" s="19"/>
      <c r="O236" s="19">
        <v>3060</v>
      </c>
      <c r="P236" s="19"/>
      <c r="Q236" s="19">
        <v>0</v>
      </c>
      <c r="R236" s="6"/>
    </row>
    <row r="237" spans="1:18" s="3" customFormat="1" ht="13.5" customHeight="1">
      <c r="A237" s="19" t="s">
        <v>33</v>
      </c>
      <c r="B237" s="20"/>
      <c r="C237" s="19">
        <v>0</v>
      </c>
      <c r="D237" s="23"/>
      <c r="E237" s="19">
        <v>0</v>
      </c>
      <c r="F237" s="23"/>
      <c r="G237" s="19">
        <v>0</v>
      </c>
      <c r="H237" s="23"/>
      <c r="I237" s="19">
        <v>8686</v>
      </c>
      <c r="J237" s="19"/>
      <c r="K237" s="19">
        <f t="shared" si="10"/>
        <v>8686</v>
      </c>
      <c r="L237" s="19"/>
      <c r="M237" s="19">
        <v>5000</v>
      </c>
      <c r="N237" s="19"/>
      <c r="O237" s="19">
        <v>3686</v>
      </c>
      <c r="P237" s="19"/>
      <c r="Q237" s="19">
        <v>0</v>
      </c>
      <c r="R237" s="6"/>
    </row>
    <row r="238" spans="1:18" s="3" customFormat="1" ht="13.5" customHeight="1">
      <c r="A238" s="19" t="s">
        <v>74</v>
      </c>
      <c r="B238" s="20" t="s">
        <v>13</v>
      </c>
      <c r="C238" s="19">
        <v>99999</v>
      </c>
      <c r="D238" s="23"/>
      <c r="E238" s="19">
        <v>0</v>
      </c>
      <c r="F238" s="23"/>
      <c r="G238" s="19">
        <v>33728</v>
      </c>
      <c r="H238" s="23"/>
      <c r="I238" s="19">
        <v>7828</v>
      </c>
      <c r="J238" s="19"/>
      <c r="K238" s="19">
        <f>IF(SUM(C238:I238)=SUM(M238:Q238),SUM(C238:I238),SUM(M238:Q238)-SUM(C238:I238))</f>
        <v>141555</v>
      </c>
      <c r="L238" s="19"/>
      <c r="M238" s="19">
        <v>114825</v>
      </c>
      <c r="N238" s="19"/>
      <c r="O238" s="19">
        <v>26730</v>
      </c>
      <c r="P238" s="19"/>
      <c r="Q238" s="19">
        <v>0</v>
      </c>
      <c r="R238" s="6"/>
    </row>
    <row r="239" spans="1:18" s="3" customFormat="1" ht="13.5" customHeight="1">
      <c r="A239" s="19" t="s">
        <v>75</v>
      </c>
      <c r="B239" s="20" t="s">
        <v>13</v>
      </c>
      <c r="C239" s="19">
        <v>355066</v>
      </c>
      <c r="D239" s="23"/>
      <c r="E239" s="19">
        <v>118187</v>
      </c>
      <c r="F239" s="23"/>
      <c r="G239" s="19">
        <v>464020</v>
      </c>
      <c r="H239" s="23"/>
      <c r="I239" s="19">
        <v>21120</v>
      </c>
      <c r="J239" s="19"/>
      <c r="K239" s="19">
        <f t="shared" si="10"/>
        <v>958393</v>
      </c>
      <c r="L239" s="19"/>
      <c r="M239" s="19">
        <v>479527</v>
      </c>
      <c r="N239" s="19"/>
      <c r="O239" s="19">
        <v>334723</v>
      </c>
      <c r="P239" s="19"/>
      <c r="Q239" s="19">
        <f>-1+144144</f>
        <v>144143</v>
      </c>
      <c r="R239" s="6"/>
    </row>
    <row r="240" spans="1:18" s="3" customFormat="1" ht="13.5" customHeight="1">
      <c r="A240" s="19" t="s">
        <v>36</v>
      </c>
      <c r="B240" s="20" t="s">
        <v>13</v>
      </c>
      <c r="C240" s="19">
        <v>0</v>
      </c>
      <c r="D240" s="23"/>
      <c r="E240" s="19">
        <v>0</v>
      </c>
      <c r="F240" s="23"/>
      <c r="G240" s="19">
        <v>3563</v>
      </c>
      <c r="H240" s="23"/>
      <c r="I240" s="19">
        <v>16015</v>
      </c>
      <c r="J240" s="19"/>
      <c r="K240" s="19">
        <f t="shared" si="10"/>
        <v>19578</v>
      </c>
      <c r="L240" s="19"/>
      <c r="M240" s="19">
        <v>5198</v>
      </c>
      <c r="N240" s="19"/>
      <c r="O240" s="19">
        <f>-1+14381</f>
        <v>14380</v>
      </c>
      <c r="P240" s="19"/>
      <c r="Q240" s="19">
        <v>0</v>
      </c>
      <c r="R240" s="6"/>
    </row>
    <row r="241" spans="1:18" s="3" customFormat="1" ht="13.5" customHeight="1">
      <c r="A241" s="19" t="s">
        <v>31</v>
      </c>
      <c r="B241" s="20" t="s">
        <v>13</v>
      </c>
      <c r="C241" s="19">
        <v>56084</v>
      </c>
      <c r="D241" s="23"/>
      <c r="E241" s="19">
        <v>0</v>
      </c>
      <c r="F241" s="23"/>
      <c r="G241" s="19">
        <v>0</v>
      </c>
      <c r="H241" s="23"/>
      <c r="I241" s="19">
        <v>0</v>
      </c>
      <c r="J241" s="19"/>
      <c r="K241" s="19">
        <f t="shared" si="10"/>
        <v>56084</v>
      </c>
      <c r="L241" s="19"/>
      <c r="M241" s="19">
        <v>32921</v>
      </c>
      <c r="N241" s="19"/>
      <c r="O241" s="19">
        <v>23163</v>
      </c>
      <c r="P241" s="19"/>
      <c r="Q241" s="19">
        <f>-1+1</f>
        <v>0</v>
      </c>
      <c r="R241" s="6"/>
    </row>
    <row r="242" spans="1:18" s="3" customFormat="1" ht="13.5" customHeight="1">
      <c r="A242" s="19" t="s">
        <v>294</v>
      </c>
      <c r="B242" s="20"/>
      <c r="C242" s="19">
        <v>0</v>
      </c>
      <c r="D242" s="23"/>
      <c r="E242" s="19">
        <v>0</v>
      </c>
      <c r="F242" s="23"/>
      <c r="G242" s="19">
        <v>0</v>
      </c>
      <c r="H242" s="23"/>
      <c r="I242" s="19">
        <v>3335</v>
      </c>
      <c r="J242" s="19"/>
      <c r="K242" s="19">
        <f t="shared" si="10"/>
        <v>3335</v>
      </c>
      <c r="L242" s="19"/>
      <c r="M242" s="19">
        <v>0</v>
      </c>
      <c r="N242" s="19"/>
      <c r="O242" s="19">
        <v>3335</v>
      </c>
      <c r="P242" s="19"/>
      <c r="Q242" s="19">
        <v>0</v>
      </c>
      <c r="R242" s="6"/>
    </row>
    <row r="243" spans="1:18" s="3" customFormat="1" ht="13.5" customHeight="1">
      <c r="A243" s="19" t="s">
        <v>38</v>
      </c>
      <c r="B243" s="20"/>
      <c r="C243" s="19">
        <v>0</v>
      </c>
      <c r="D243" s="23"/>
      <c r="E243" s="19">
        <v>0</v>
      </c>
      <c r="F243" s="23"/>
      <c r="G243" s="19">
        <v>34562</v>
      </c>
      <c r="H243" s="23"/>
      <c r="I243" s="19">
        <v>6454</v>
      </c>
      <c r="J243" s="19"/>
      <c r="K243" s="19">
        <f t="shared" si="10"/>
        <v>41016</v>
      </c>
      <c r="L243" s="19"/>
      <c r="M243" s="19">
        <v>25650</v>
      </c>
      <c r="N243" s="19"/>
      <c r="O243" s="19">
        <v>5454</v>
      </c>
      <c r="P243" s="19"/>
      <c r="Q243" s="19">
        <v>9912</v>
      </c>
      <c r="R243" s="6"/>
    </row>
    <row r="244" spans="1:18" s="3" customFormat="1" ht="13.5" customHeight="1">
      <c r="A244" s="19" t="s">
        <v>39</v>
      </c>
      <c r="B244" s="20" t="s">
        <v>13</v>
      </c>
      <c r="C244" s="19">
        <v>46112</v>
      </c>
      <c r="D244" s="23"/>
      <c r="E244" s="19">
        <v>17921</v>
      </c>
      <c r="F244" s="23"/>
      <c r="G244" s="19">
        <v>24782</v>
      </c>
      <c r="H244" s="23"/>
      <c r="I244" s="19">
        <v>18379</v>
      </c>
      <c r="J244" s="19"/>
      <c r="K244" s="19">
        <f t="shared" si="10"/>
        <v>107194</v>
      </c>
      <c r="L244" s="19"/>
      <c r="M244" s="19">
        <v>81643</v>
      </c>
      <c r="N244" s="19"/>
      <c r="O244" s="19">
        <v>19739</v>
      </c>
      <c r="P244" s="19"/>
      <c r="Q244" s="19">
        <v>5812</v>
      </c>
      <c r="R244" s="6"/>
    </row>
    <row r="245" spans="1:18" s="3" customFormat="1" ht="13.5" customHeight="1">
      <c r="A245" s="19" t="s">
        <v>40</v>
      </c>
      <c r="B245" s="20" t="s">
        <v>13</v>
      </c>
      <c r="C245" s="19">
        <v>167555</v>
      </c>
      <c r="D245" s="23"/>
      <c r="E245" s="19">
        <v>210723</v>
      </c>
      <c r="F245" s="23"/>
      <c r="G245" s="19">
        <v>206435</v>
      </c>
      <c r="H245" s="23"/>
      <c r="I245" s="19">
        <v>71368</v>
      </c>
      <c r="J245" s="19"/>
      <c r="K245" s="19">
        <f t="shared" si="10"/>
        <v>656081</v>
      </c>
      <c r="L245" s="19"/>
      <c r="M245" s="19">
        <v>357631</v>
      </c>
      <c r="N245" s="19"/>
      <c r="O245" s="19">
        <v>189640</v>
      </c>
      <c r="P245" s="19"/>
      <c r="Q245" s="19">
        <v>108810</v>
      </c>
      <c r="R245" s="6"/>
    </row>
    <row r="246" spans="1:18" s="3" customFormat="1" ht="13.5" customHeight="1">
      <c r="A246" s="19" t="s">
        <v>76</v>
      </c>
      <c r="B246" s="20" t="s">
        <v>13</v>
      </c>
      <c r="C246" s="19">
        <v>376887</v>
      </c>
      <c r="D246" s="23"/>
      <c r="E246" s="19">
        <v>239864</v>
      </c>
      <c r="F246" s="23"/>
      <c r="G246" s="19">
        <v>362254</v>
      </c>
      <c r="H246" s="23"/>
      <c r="I246" s="19">
        <v>3607</v>
      </c>
      <c r="J246" s="19"/>
      <c r="K246" s="21">
        <f t="shared" si="10"/>
        <v>982612</v>
      </c>
      <c r="L246" s="19"/>
      <c r="M246" s="24">
        <v>537781</v>
      </c>
      <c r="N246" s="19"/>
      <c r="O246" s="24">
        <v>219510</v>
      </c>
      <c r="P246" s="19"/>
      <c r="Q246" s="24">
        <f>1+225320</f>
        <v>225321</v>
      </c>
      <c r="R246" s="6"/>
    </row>
    <row r="247" spans="1:18" s="3" customFormat="1" ht="13.5" customHeight="1">
      <c r="A247" s="19" t="s">
        <v>237</v>
      </c>
      <c r="B247" s="20" t="s">
        <v>13</v>
      </c>
      <c r="C247" s="34">
        <f>SUM(C233:C246)</f>
        <v>1398907</v>
      </c>
      <c r="D247" s="23"/>
      <c r="E247" s="34">
        <f>SUM(E233:E246)</f>
        <v>698341</v>
      </c>
      <c r="F247" s="23"/>
      <c r="G247" s="34">
        <f>SUM(G233:G246)</f>
        <v>1156576</v>
      </c>
      <c r="H247" s="23"/>
      <c r="I247" s="34">
        <f>SUM(I233:I246)</f>
        <v>207076</v>
      </c>
      <c r="J247" s="19"/>
      <c r="K247" s="22">
        <f>IF(SUM(C247:I247)=SUM(M247:Q247),SUM(C247:I247),SUM(M247:Q247)-SUM(C247:I247))</f>
        <v>3460900</v>
      </c>
      <c r="L247" s="19"/>
      <c r="M247" s="21">
        <f>SUM(M233:M246)</f>
        <v>1894090</v>
      </c>
      <c r="N247" s="19"/>
      <c r="O247" s="21">
        <f>SUM(O233:O246)</f>
        <v>1022240</v>
      </c>
      <c r="P247" s="19"/>
      <c r="Q247" s="21">
        <f>SUM(Q233:Q246)</f>
        <v>544570</v>
      </c>
      <c r="R247" s="6"/>
    </row>
    <row r="248" spans="1:18" s="3" customFormat="1" ht="13.5" customHeight="1">
      <c r="A248" s="19"/>
      <c r="B248" s="20" t="s">
        <v>13</v>
      </c>
      <c r="C248" s="19"/>
      <c r="D248" s="23"/>
      <c r="E248" s="19"/>
      <c r="F248" s="23"/>
      <c r="G248" s="19"/>
      <c r="H248" s="23"/>
      <c r="I248" s="19"/>
      <c r="J248" s="19"/>
      <c r="K248" s="19"/>
      <c r="L248" s="19"/>
      <c r="M248" s="19"/>
      <c r="N248" s="19"/>
      <c r="O248" s="19"/>
      <c r="P248" s="19"/>
      <c r="Q248" s="19"/>
      <c r="R248" s="6"/>
    </row>
    <row r="249" spans="1:18" s="3" customFormat="1" ht="13.5" customHeight="1">
      <c r="A249" s="19" t="s">
        <v>270</v>
      </c>
      <c r="B249" s="20" t="s">
        <v>13</v>
      </c>
      <c r="C249" s="19" t="s">
        <v>13</v>
      </c>
      <c r="D249" s="23"/>
      <c r="E249" s="19" t="s">
        <v>13</v>
      </c>
      <c r="F249" s="23"/>
      <c r="G249" s="19" t="s">
        <v>13</v>
      </c>
      <c r="H249" s="23"/>
      <c r="I249" s="19" t="s">
        <v>13</v>
      </c>
      <c r="J249" s="19"/>
      <c r="K249" s="19"/>
      <c r="L249" s="19"/>
      <c r="M249" s="19" t="s">
        <v>13</v>
      </c>
      <c r="N249" s="19"/>
      <c r="O249" s="19" t="s">
        <v>13</v>
      </c>
      <c r="P249" s="19"/>
      <c r="Q249" s="19" t="s">
        <v>13</v>
      </c>
      <c r="R249" s="6"/>
    </row>
    <row r="250" spans="1:18" s="3" customFormat="1" ht="13.5" customHeight="1">
      <c r="A250" s="19" t="s">
        <v>98</v>
      </c>
      <c r="B250" s="20" t="s">
        <v>13</v>
      </c>
      <c r="C250" s="19">
        <v>654944</v>
      </c>
      <c r="D250" s="23"/>
      <c r="E250" s="19">
        <v>0</v>
      </c>
      <c r="F250" s="23"/>
      <c r="G250" s="19">
        <v>28361</v>
      </c>
      <c r="H250" s="23"/>
      <c r="I250" s="19">
        <v>0</v>
      </c>
      <c r="J250" s="19"/>
      <c r="K250" s="19">
        <f aca="true" t="shared" si="11" ref="K250:K256">IF(SUM(C250:I250)=SUM(M250:Q250),SUM(C250:I250),SUM(M250:Q250)-SUM(C250:I250))</f>
        <v>683305</v>
      </c>
      <c r="L250" s="19"/>
      <c r="M250" s="19">
        <v>490068</v>
      </c>
      <c r="N250" s="19"/>
      <c r="O250" s="19">
        <v>108517</v>
      </c>
      <c r="P250" s="19"/>
      <c r="Q250" s="19">
        <v>84720</v>
      </c>
      <c r="R250" s="6"/>
    </row>
    <row r="251" spans="1:18" s="3" customFormat="1" ht="13.5" customHeight="1">
      <c r="A251" s="19" t="s">
        <v>188</v>
      </c>
      <c r="B251" s="20"/>
      <c r="C251" s="19">
        <v>0</v>
      </c>
      <c r="D251" s="23"/>
      <c r="E251" s="19">
        <v>0</v>
      </c>
      <c r="F251" s="23"/>
      <c r="G251" s="19">
        <v>3300</v>
      </c>
      <c r="H251" s="23"/>
      <c r="I251" s="19">
        <v>0</v>
      </c>
      <c r="J251" s="19"/>
      <c r="K251" s="19">
        <f t="shared" si="11"/>
        <v>3300</v>
      </c>
      <c r="L251" s="19"/>
      <c r="M251" s="19">
        <v>0</v>
      </c>
      <c r="N251" s="19"/>
      <c r="O251" s="19">
        <v>3300</v>
      </c>
      <c r="P251" s="19"/>
      <c r="Q251" s="19">
        <v>0</v>
      </c>
      <c r="R251" s="6"/>
    </row>
    <row r="252" spans="1:18" s="3" customFormat="1" ht="13.5" customHeight="1">
      <c r="A252" s="19" t="s">
        <v>31</v>
      </c>
      <c r="B252" s="20" t="s">
        <v>13</v>
      </c>
      <c r="C252" s="19">
        <v>0</v>
      </c>
      <c r="D252" s="23"/>
      <c r="E252" s="19">
        <v>514434</v>
      </c>
      <c r="F252" s="23"/>
      <c r="G252" s="19">
        <v>7465</v>
      </c>
      <c r="H252" s="23"/>
      <c r="I252" s="19">
        <v>32015</v>
      </c>
      <c r="J252" s="19"/>
      <c r="K252" s="19">
        <f t="shared" si="11"/>
        <v>553914</v>
      </c>
      <c r="L252" s="19"/>
      <c r="M252" s="19">
        <v>290234</v>
      </c>
      <c r="N252" s="19"/>
      <c r="O252" s="19">
        <v>100583</v>
      </c>
      <c r="P252" s="19"/>
      <c r="Q252" s="19">
        <f>1+163096</f>
        <v>163097</v>
      </c>
      <c r="R252" s="6"/>
    </row>
    <row r="253" spans="1:18" s="3" customFormat="1" ht="13.5" customHeight="1">
      <c r="A253" s="19" t="s">
        <v>54</v>
      </c>
      <c r="B253" s="20" t="s">
        <v>13</v>
      </c>
      <c r="C253" s="19">
        <v>0</v>
      </c>
      <c r="D253" s="23"/>
      <c r="E253" s="19">
        <v>0</v>
      </c>
      <c r="F253" s="23"/>
      <c r="G253" s="19">
        <v>15866</v>
      </c>
      <c r="H253" s="23"/>
      <c r="I253" s="19">
        <v>101303</v>
      </c>
      <c r="J253" s="19"/>
      <c r="K253" s="23">
        <f t="shared" si="11"/>
        <v>117169</v>
      </c>
      <c r="L253" s="19"/>
      <c r="M253" s="23">
        <v>14357</v>
      </c>
      <c r="N253" s="19"/>
      <c r="O253" s="23">
        <f>1+102811</f>
        <v>102812</v>
      </c>
      <c r="P253" s="19"/>
      <c r="Q253" s="23">
        <v>0</v>
      </c>
      <c r="R253" s="6"/>
    </row>
    <row r="254" spans="1:18" s="3" customFormat="1" ht="13.5" customHeight="1">
      <c r="A254" s="19" t="s">
        <v>271</v>
      </c>
      <c r="B254" s="20"/>
      <c r="C254" s="19">
        <v>0</v>
      </c>
      <c r="D254" s="23"/>
      <c r="E254" s="19">
        <v>0</v>
      </c>
      <c r="F254" s="23"/>
      <c r="G254" s="19">
        <v>2400</v>
      </c>
      <c r="H254" s="23"/>
      <c r="I254" s="19">
        <v>14678</v>
      </c>
      <c r="J254" s="19"/>
      <c r="K254" s="23">
        <f t="shared" si="11"/>
        <v>17078</v>
      </c>
      <c r="L254" s="19"/>
      <c r="M254" s="23">
        <v>2185</v>
      </c>
      <c r="N254" s="19"/>
      <c r="O254" s="23">
        <v>14893</v>
      </c>
      <c r="P254" s="19"/>
      <c r="Q254" s="23">
        <v>0</v>
      </c>
      <c r="R254" s="6"/>
    </row>
    <row r="255" spans="1:18" s="3" customFormat="1" ht="13.5" customHeight="1">
      <c r="A255" s="19" t="s">
        <v>226</v>
      </c>
      <c r="B255" s="20"/>
      <c r="C255" s="19">
        <v>0</v>
      </c>
      <c r="D255" s="23"/>
      <c r="E255" s="19">
        <v>0</v>
      </c>
      <c r="F255" s="23"/>
      <c r="G255" s="19">
        <v>14410</v>
      </c>
      <c r="H255" s="23"/>
      <c r="I255" s="19">
        <v>22769</v>
      </c>
      <c r="J255" s="19"/>
      <c r="K255" s="21">
        <f t="shared" si="11"/>
        <v>37179</v>
      </c>
      <c r="L255" s="19"/>
      <c r="M255" s="24">
        <v>24544</v>
      </c>
      <c r="N255" s="19"/>
      <c r="O255" s="24">
        <v>12634</v>
      </c>
      <c r="P255" s="19"/>
      <c r="Q255" s="24">
        <v>1</v>
      </c>
      <c r="R255" s="6"/>
    </row>
    <row r="256" spans="1:18" s="3" customFormat="1" ht="13.5" customHeight="1">
      <c r="A256" s="19" t="s">
        <v>272</v>
      </c>
      <c r="B256" s="20" t="s">
        <v>13</v>
      </c>
      <c r="C256" s="34">
        <f>SUM(C250:C255)</f>
        <v>654944</v>
      </c>
      <c r="D256" s="23"/>
      <c r="E256" s="34">
        <f>SUM(E250:E255)</f>
        <v>514434</v>
      </c>
      <c r="F256" s="23"/>
      <c r="G256" s="34">
        <f>SUM(G250:G255)</f>
        <v>71802</v>
      </c>
      <c r="H256" s="23"/>
      <c r="I256" s="34">
        <f>SUM(I250:I255)</f>
        <v>170765</v>
      </c>
      <c r="J256" s="19"/>
      <c r="K256" s="22">
        <f t="shared" si="11"/>
        <v>1411945</v>
      </c>
      <c r="L256" s="19"/>
      <c r="M256" s="21">
        <f>SUM(M250:M255)</f>
        <v>821388</v>
      </c>
      <c r="N256" s="19"/>
      <c r="O256" s="21">
        <f>SUM(O250:O255)</f>
        <v>342739</v>
      </c>
      <c r="P256" s="19"/>
      <c r="Q256" s="21">
        <f>SUM(Q250:Q255)</f>
        <v>247818</v>
      </c>
      <c r="R256" s="6"/>
    </row>
    <row r="257" spans="1:18" s="3" customFormat="1" ht="13.5" customHeight="1">
      <c r="A257" s="19"/>
      <c r="B257" s="20" t="s">
        <v>13</v>
      </c>
      <c r="C257" s="19"/>
      <c r="D257" s="23"/>
      <c r="E257" s="19"/>
      <c r="F257" s="23"/>
      <c r="G257" s="19"/>
      <c r="H257" s="23"/>
      <c r="I257" s="19"/>
      <c r="J257" s="19"/>
      <c r="K257" s="19"/>
      <c r="L257" s="19"/>
      <c r="M257" s="19"/>
      <c r="N257" s="19"/>
      <c r="O257" s="19"/>
      <c r="P257" s="19"/>
      <c r="Q257" s="19"/>
      <c r="R257" s="6"/>
    </row>
    <row r="258" spans="1:18" s="3" customFormat="1" ht="13.5" customHeight="1">
      <c r="A258" s="19" t="s">
        <v>316</v>
      </c>
      <c r="B258" s="20" t="s">
        <v>13</v>
      </c>
      <c r="C258" s="21">
        <v>0</v>
      </c>
      <c r="D258" s="23"/>
      <c r="E258" s="21">
        <v>0</v>
      </c>
      <c r="F258" s="23"/>
      <c r="G258" s="21">
        <v>2521</v>
      </c>
      <c r="H258" s="23"/>
      <c r="I258" s="21">
        <v>0</v>
      </c>
      <c r="J258" s="19"/>
      <c r="K258" s="21">
        <f>IF(SUM(C258:I258)=SUM(M258:Q258),SUM(C258:I258),SUM(M258:Q258)-SUM(C258:I258))</f>
        <v>2521</v>
      </c>
      <c r="L258" s="19"/>
      <c r="M258" s="24">
        <v>0</v>
      </c>
      <c r="N258" s="19"/>
      <c r="O258" s="24">
        <v>2521</v>
      </c>
      <c r="P258" s="19"/>
      <c r="Q258" s="24">
        <v>0</v>
      </c>
      <c r="R258" s="6"/>
    </row>
    <row r="259" spans="1:18" s="3" customFormat="1" ht="13.5" customHeight="1">
      <c r="A259" s="19"/>
      <c r="B259" s="20"/>
      <c r="C259" s="19"/>
      <c r="D259" s="23"/>
      <c r="E259" s="19"/>
      <c r="F259" s="23"/>
      <c r="G259" s="19"/>
      <c r="H259" s="23"/>
      <c r="I259" s="19"/>
      <c r="J259" s="19"/>
      <c r="K259" s="19"/>
      <c r="L259" s="19"/>
      <c r="M259" s="19"/>
      <c r="N259" s="19"/>
      <c r="O259" s="19"/>
      <c r="P259" s="19"/>
      <c r="Q259" s="19"/>
      <c r="R259" s="6"/>
    </row>
    <row r="260" spans="1:18" s="3" customFormat="1" ht="13.5" customHeight="1">
      <c r="A260" s="19" t="s">
        <v>285</v>
      </c>
      <c r="B260" s="20" t="s">
        <v>13</v>
      </c>
      <c r="C260" s="21">
        <v>0</v>
      </c>
      <c r="D260" s="23"/>
      <c r="E260" s="21">
        <v>0</v>
      </c>
      <c r="F260" s="23"/>
      <c r="G260" s="21">
        <v>0</v>
      </c>
      <c r="H260" s="23"/>
      <c r="I260" s="21">
        <v>8185</v>
      </c>
      <c r="J260" s="19"/>
      <c r="K260" s="21">
        <f>IF(SUM(C260:I260)=SUM(M260:Q260),SUM(C260:I260),SUM(M260:Q260)-SUM(C260:I260))</f>
        <v>8185</v>
      </c>
      <c r="L260" s="19"/>
      <c r="M260" s="24">
        <v>7203</v>
      </c>
      <c r="N260" s="19"/>
      <c r="O260" s="24">
        <v>982</v>
      </c>
      <c r="P260" s="19"/>
      <c r="Q260" s="24">
        <v>0</v>
      </c>
      <c r="R260" s="6"/>
    </row>
    <row r="261" spans="1:18" s="3" customFormat="1" ht="13.5" customHeight="1">
      <c r="A261" s="19"/>
      <c r="B261" s="20"/>
      <c r="C261" s="19"/>
      <c r="D261" s="23"/>
      <c r="E261" s="19"/>
      <c r="F261" s="23"/>
      <c r="G261" s="19"/>
      <c r="H261" s="23"/>
      <c r="I261" s="19"/>
      <c r="J261" s="19"/>
      <c r="K261" s="19"/>
      <c r="L261" s="19"/>
      <c r="M261" s="19"/>
      <c r="N261" s="19"/>
      <c r="O261" s="19"/>
      <c r="P261" s="19"/>
      <c r="Q261" s="19"/>
      <c r="R261" s="6"/>
    </row>
    <row r="262" spans="1:18" s="3" customFormat="1" ht="13.5" customHeight="1">
      <c r="A262" s="19" t="s">
        <v>84</v>
      </c>
      <c r="B262" s="20" t="s">
        <v>13</v>
      </c>
      <c r="C262" s="21">
        <v>355784</v>
      </c>
      <c r="D262" s="23"/>
      <c r="E262" s="21">
        <v>137806</v>
      </c>
      <c r="F262" s="23"/>
      <c r="G262" s="21">
        <v>24313</v>
      </c>
      <c r="H262" s="23"/>
      <c r="I262" s="21">
        <v>2787</v>
      </c>
      <c r="J262" s="19"/>
      <c r="K262" s="21">
        <f>IF(SUM(C262:I262)=SUM(M262:Q262),SUM(C262:I262),SUM(M262:Q262)-SUM(C262:I262))</f>
        <v>520690</v>
      </c>
      <c r="L262" s="19"/>
      <c r="M262" s="24">
        <v>432924</v>
      </c>
      <c r="N262" s="19"/>
      <c r="O262" s="24">
        <v>31823</v>
      </c>
      <c r="P262" s="19"/>
      <c r="Q262" s="24">
        <v>55943</v>
      </c>
      <c r="R262" s="6"/>
    </row>
    <row r="263" spans="1:18" s="3" customFormat="1" ht="13.5" customHeight="1">
      <c r="A263" s="19"/>
      <c r="B263" s="20" t="s">
        <v>13</v>
      </c>
      <c r="C263" s="19"/>
      <c r="D263" s="23"/>
      <c r="E263" s="19"/>
      <c r="F263" s="23"/>
      <c r="G263" s="19"/>
      <c r="H263" s="23"/>
      <c r="I263" s="19"/>
      <c r="J263" s="19"/>
      <c r="K263" s="19"/>
      <c r="L263" s="19"/>
      <c r="M263" s="19"/>
      <c r="N263" s="19"/>
      <c r="O263" s="19"/>
      <c r="P263" s="19"/>
      <c r="Q263" s="19"/>
      <c r="R263" s="6"/>
    </row>
    <row r="264" spans="1:18" s="3" customFormat="1" ht="13.5" customHeight="1">
      <c r="A264" s="19" t="s">
        <v>197</v>
      </c>
      <c r="B264" s="20" t="s">
        <v>13</v>
      </c>
      <c r="C264" s="21">
        <v>1066871</v>
      </c>
      <c r="D264" s="23"/>
      <c r="E264" s="21">
        <v>1314388</v>
      </c>
      <c r="F264" s="23"/>
      <c r="G264" s="21">
        <v>366634</v>
      </c>
      <c r="H264" s="23"/>
      <c r="I264" s="21">
        <v>222368</v>
      </c>
      <c r="J264" s="19"/>
      <c r="K264" s="21">
        <f>IF(SUM(C264:I264)=SUM(M264:Q264),SUM(C264:I264),SUM(M264:Q264)-SUM(C264:I264))</f>
        <v>2970261</v>
      </c>
      <c r="L264" s="19"/>
      <c r="M264" s="24">
        <v>1432284</v>
      </c>
      <c r="N264" s="19"/>
      <c r="O264" s="24">
        <v>1213580</v>
      </c>
      <c r="P264" s="19"/>
      <c r="Q264" s="24">
        <v>324397</v>
      </c>
      <c r="R264" s="6"/>
    </row>
    <row r="265" spans="1:18" s="3" customFormat="1" ht="13.5" customHeight="1">
      <c r="A265" s="19"/>
      <c r="B265" s="20" t="s">
        <v>13</v>
      </c>
      <c r="C265" s="19"/>
      <c r="D265" s="23"/>
      <c r="E265" s="19"/>
      <c r="F265" s="23"/>
      <c r="G265" s="19"/>
      <c r="H265" s="23"/>
      <c r="I265" s="19"/>
      <c r="J265" s="19"/>
      <c r="K265" s="19"/>
      <c r="L265" s="19"/>
      <c r="M265" s="19"/>
      <c r="N265" s="19"/>
      <c r="O265" s="19"/>
      <c r="P265" s="19"/>
      <c r="Q265" s="19"/>
      <c r="R265" s="6"/>
    </row>
    <row r="266" spans="1:18" s="3" customFormat="1" ht="13.5" customHeight="1">
      <c r="A266" s="19" t="s">
        <v>61</v>
      </c>
      <c r="B266" s="20" t="s">
        <v>13</v>
      </c>
      <c r="C266" s="21">
        <v>0</v>
      </c>
      <c r="D266" s="23"/>
      <c r="E266" s="21">
        <v>0</v>
      </c>
      <c r="F266" s="23"/>
      <c r="G266" s="21">
        <v>56672</v>
      </c>
      <c r="H266" s="23"/>
      <c r="I266" s="21">
        <v>45510</v>
      </c>
      <c r="J266" s="19"/>
      <c r="K266" s="21">
        <f>IF(SUM(C266:I266)=SUM(M266:Q266),SUM(C266:I266),SUM(M266:Q266)-SUM(C266:I266))</f>
        <v>102182</v>
      </c>
      <c r="L266" s="19"/>
      <c r="M266" s="24">
        <v>72628</v>
      </c>
      <c r="N266" s="19"/>
      <c r="O266" s="24">
        <f>-1+29555</f>
        <v>29554</v>
      </c>
      <c r="P266" s="19"/>
      <c r="Q266" s="24">
        <v>0</v>
      </c>
      <c r="R266" s="6"/>
    </row>
    <row r="267" spans="1:18" s="3" customFormat="1" ht="13.5" customHeight="1">
      <c r="A267" s="19"/>
      <c r="B267" s="20" t="s">
        <v>13</v>
      </c>
      <c r="C267" s="19"/>
      <c r="D267" s="23"/>
      <c r="E267" s="19"/>
      <c r="F267" s="23"/>
      <c r="G267" s="19"/>
      <c r="H267" s="23"/>
      <c r="I267" s="19"/>
      <c r="J267" s="19"/>
      <c r="K267" s="19"/>
      <c r="L267" s="19"/>
      <c r="M267" s="19"/>
      <c r="N267" s="19"/>
      <c r="O267" s="19"/>
      <c r="P267" s="19"/>
      <c r="Q267" s="19"/>
      <c r="R267" s="6"/>
    </row>
    <row r="268" spans="1:18" s="3" customFormat="1" ht="13.5" customHeight="1">
      <c r="A268" s="19" t="s">
        <v>286</v>
      </c>
      <c r="B268" s="20" t="s">
        <v>13</v>
      </c>
      <c r="C268" s="21">
        <v>0</v>
      </c>
      <c r="D268" s="23"/>
      <c r="E268" s="21">
        <v>0</v>
      </c>
      <c r="F268" s="23"/>
      <c r="G268" s="21">
        <v>0</v>
      </c>
      <c r="H268" s="23"/>
      <c r="I268" s="21">
        <v>113421</v>
      </c>
      <c r="J268" s="19"/>
      <c r="K268" s="21">
        <f>IF(SUM(C268:I268)=SUM(M268:Q268),SUM(C268:I268),SUM(M268:Q268)-SUM(C268:I268))</f>
        <v>113421</v>
      </c>
      <c r="L268" s="19"/>
      <c r="M268" s="24">
        <v>112788</v>
      </c>
      <c r="N268" s="19"/>
      <c r="O268" s="24">
        <f>-1+634</f>
        <v>633</v>
      </c>
      <c r="P268" s="19"/>
      <c r="Q268" s="24">
        <v>0</v>
      </c>
      <c r="R268" s="6"/>
    </row>
    <row r="269" spans="1:18" s="3" customFormat="1" ht="13.5" customHeight="1">
      <c r="A269" s="19"/>
      <c r="B269" s="20"/>
      <c r="C269" s="19"/>
      <c r="D269" s="23"/>
      <c r="E269" s="19"/>
      <c r="F269" s="23"/>
      <c r="G269" s="19"/>
      <c r="H269" s="23"/>
      <c r="I269" s="19"/>
      <c r="J269" s="19"/>
      <c r="K269" s="19"/>
      <c r="L269" s="19"/>
      <c r="M269" s="19"/>
      <c r="N269" s="19"/>
      <c r="O269" s="19"/>
      <c r="P269" s="19"/>
      <c r="Q269" s="19"/>
      <c r="R269" s="6"/>
    </row>
    <row r="270" spans="1:18" s="3" customFormat="1" ht="13.5" customHeight="1">
      <c r="A270" s="19" t="s">
        <v>85</v>
      </c>
      <c r="B270" s="20" t="s">
        <v>13</v>
      </c>
      <c r="C270" s="21">
        <v>23592</v>
      </c>
      <c r="D270" s="23"/>
      <c r="E270" s="21">
        <v>35173</v>
      </c>
      <c r="F270" s="23"/>
      <c r="G270" s="21">
        <v>0</v>
      </c>
      <c r="H270" s="23"/>
      <c r="I270" s="21">
        <v>276</v>
      </c>
      <c r="J270" s="19"/>
      <c r="K270" s="21">
        <f>IF(SUM(C270:I270)=SUM(M270:Q270),SUM(C270:I270),SUM(M270:Q270)-SUM(C270:I270))</f>
        <v>59041</v>
      </c>
      <c r="L270" s="19"/>
      <c r="M270" s="24">
        <v>57116</v>
      </c>
      <c r="N270" s="19"/>
      <c r="O270" s="24">
        <v>1925</v>
      </c>
      <c r="P270" s="19"/>
      <c r="Q270" s="24">
        <v>0</v>
      </c>
      <c r="R270" s="6"/>
    </row>
    <row r="271" spans="1:18" s="3" customFormat="1" ht="13.5" customHeight="1">
      <c r="A271" s="19"/>
      <c r="B271" s="20"/>
      <c r="C271" s="23"/>
      <c r="D271" s="23"/>
      <c r="E271" s="23"/>
      <c r="F271" s="23"/>
      <c r="G271" s="23"/>
      <c r="H271" s="23"/>
      <c r="I271" s="23"/>
      <c r="J271" s="19"/>
      <c r="K271" s="23"/>
      <c r="L271" s="19"/>
      <c r="M271" s="23"/>
      <c r="N271" s="19"/>
      <c r="O271" s="23"/>
      <c r="P271" s="19"/>
      <c r="Q271" s="23"/>
      <c r="R271" s="6"/>
    </row>
    <row r="272" spans="1:18" s="3" customFormat="1" ht="13.5" customHeight="1">
      <c r="A272" s="19" t="s">
        <v>19</v>
      </c>
      <c r="B272" s="20" t="s">
        <v>13</v>
      </c>
      <c r="C272" s="19"/>
      <c r="D272" s="23"/>
      <c r="E272" s="19"/>
      <c r="F272" s="23"/>
      <c r="G272" s="19"/>
      <c r="H272" s="23"/>
      <c r="I272" s="19"/>
      <c r="J272" s="19"/>
      <c r="K272" s="19"/>
      <c r="L272" s="19"/>
      <c r="M272" s="19"/>
      <c r="N272" s="19"/>
      <c r="O272" s="19"/>
      <c r="P272" s="19"/>
      <c r="Q272" s="19"/>
      <c r="R272" s="6"/>
    </row>
    <row r="273" spans="1:18" s="3" customFormat="1" ht="13.5" customHeight="1">
      <c r="A273" s="19" t="s">
        <v>295</v>
      </c>
      <c r="B273" s="20"/>
      <c r="C273" s="19">
        <v>0</v>
      </c>
      <c r="D273" s="23"/>
      <c r="E273" s="19">
        <v>0</v>
      </c>
      <c r="F273" s="23"/>
      <c r="G273" s="19">
        <v>0</v>
      </c>
      <c r="H273" s="23"/>
      <c r="I273" s="19">
        <v>3014</v>
      </c>
      <c r="J273" s="19"/>
      <c r="K273" s="23">
        <f aca="true" t="shared" si="12" ref="K273:K278">IF(SUM(C273:I273)=SUM(M273:Q273),SUM(C273:I273),SUM(M273:Q273)-SUM(C273:I273))</f>
        <v>3014</v>
      </c>
      <c r="L273" s="19"/>
      <c r="M273" s="19">
        <v>0</v>
      </c>
      <c r="N273" s="19"/>
      <c r="O273" s="19">
        <v>3014</v>
      </c>
      <c r="P273" s="19"/>
      <c r="Q273" s="19">
        <v>0</v>
      </c>
      <c r="R273" s="6"/>
    </row>
    <row r="274" spans="1:18" s="3" customFormat="1" ht="13.5" customHeight="1">
      <c r="A274" s="19" t="s">
        <v>145</v>
      </c>
      <c r="B274" s="20" t="s">
        <v>13</v>
      </c>
      <c r="C274" s="23">
        <v>0</v>
      </c>
      <c r="D274" s="23"/>
      <c r="E274" s="23">
        <v>0</v>
      </c>
      <c r="F274" s="23"/>
      <c r="G274" s="23">
        <v>0</v>
      </c>
      <c r="H274" s="23"/>
      <c r="I274" s="23">
        <v>111288</v>
      </c>
      <c r="J274" s="19"/>
      <c r="K274" s="23">
        <f t="shared" si="12"/>
        <v>111288</v>
      </c>
      <c r="L274" s="19"/>
      <c r="M274" s="23">
        <v>0</v>
      </c>
      <c r="N274" s="19"/>
      <c r="O274" s="23">
        <v>111288</v>
      </c>
      <c r="P274" s="19"/>
      <c r="Q274" s="23">
        <v>0</v>
      </c>
      <c r="R274" s="6"/>
    </row>
    <row r="275" spans="1:18" s="3" customFormat="1" ht="13.5" customHeight="1">
      <c r="A275" s="19" t="s">
        <v>296</v>
      </c>
      <c r="B275" s="20"/>
      <c r="C275" s="23">
        <v>0</v>
      </c>
      <c r="D275" s="23"/>
      <c r="E275" s="23">
        <v>0</v>
      </c>
      <c r="F275" s="23"/>
      <c r="G275" s="23">
        <v>0</v>
      </c>
      <c r="H275" s="23"/>
      <c r="I275" s="23">
        <v>12496</v>
      </c>
      <c r="J275" s="19"/>
      <c r="K275" s="23">
        <f t="shared" si="12"/>
        <v>12496</v>
      </c>
      <c r="L275" s="19"/>
      <c r="M275" s="23">
        <v>12496</v>
      </c>
      <c r="N275" s="19"/>
      <c r="O275" s="23">
        <v>0</v>
      </c>
      <c r="P275" s="19"/>
      <c r="Q275" s="23">
        <v>0</v>
      </c>
      <c r="R275" s="6"/>
    </row>
    <row r="276" spans="1:18" s="4" customFormat="1" ht="13.5" customHeight="1">
      <c r="A276" s="23" t="s">
        <v>274</v>
      </c>
      <c r="B276" s="26"/>
      <c r="C276" s="23">
        <v>5000</v>
      </c>
      <c r="D276" s="23"/>
      <c r="E276" s="23">
        <v>91637</v>
      </c>
      <c r="F276" s="23"/>
      <c r="G276" s="23">
        <v>7570</v>
      </c>
      <c r="H276" s="23"/>
      <c r="I276" s="23">
        <v>612877</v>
      </c>
      <c r="J276" s="23"/>
      <c r="K276" s="23">
        <f t="shared" si="12"/>
        <v>717084</v>
      </c>
      <c r="L276" s="23"/>
      <c r="M276" s="23">
        <v>51765</v>
      </c>
      <c r="N276" s="23"/>
      <c r="O276" s="23">
        <v>650758</v>
      </c>
      <c r="P276" s="23"/>
      <c r="Q276" s="23">
        <f>-1+14562</f>
        <v>14561</v>
      </c>
      <c r="R276" s="7"/>
    </row>
    <row r="277" spans="1:18" s="4" customFormat="1" ht="13.5" customHeight="1">
      <c r="A277" s="23" t="s">
        <v>297</v>
      </c>
      <c r="B277" s="26"/>
      <c r="C277" s="23">
        <v>0</v>
      </c>
      <c r="D277" s="23"/>
      <c r="E277" s="23">
        <v>0</v>
      </c>
      <c r="F277" s="23"/>
      <c r="G277" s="23">
        <v>0</v>
      </c>
      <c r="H277" s="23"/>
      <c r="I277" s="23">
        <v>653726</v>
      </c>
      <c r="J277" s="23"/>
      <c r="K277" s="23">
        <f t="shared" si="12"/>
        <v>653726</v>
      </c>
      <c r="L277" s="23"/>
      <c r="M277" s="23">
        <v>550360</v>
      </c>
      <c r="N277" s="23"/>
      <c r="O277" s="23">
        <v>103366</v>
      </c>
      <c r="P277" s="23"/>
      <c r="Q277" s="23">
        <v>0</v>
      </c>
      <c r="R277" s="7"/>
    </row>
    <row r="278" spans="1:18" s="3" customFormat="1" ht="13.5" customHeight="1">
      <c r="A278" s="19" t="s">
        <v>141</v>
      </c>
      <c r="B278" s="20" t="s">
        <v>13</v>
      </c>
      <c r="C278" s="22">
        <f>SUM(C273:C277)</f>
        <v>5000</v>
      </c>
      <c r="D278" s="23"/>
      <c r="E278" s="22">
        <f>SUM(E273:E277)</f>
        <v>91637</v>
      </c>
      <c r="F278" s="23"/>
      <c r="G278" s="22">
        <f>SUM(G273:G277)</f>
        <v>7570</v>
      </c>
      <c r="H278" s="23"/>
      <c r="I278" s="22">
        <f>SUM(I273:I277)</f>
        <v>1393401</v>
      </c>
      <c r="J278" s="19"/>
      <c r="K278" s="22">
        <f t="shared" si="12"/>
        <v>1497608</v>
      </c>
      <c r="L278" s="19"/>
      <c r="M278" s="22">
        <f>SUM(M273:M277)</f>
        <v>614621</v>
      </c>
      <c r="N278" s="23"/>
      <c r="O278" s="22">
        <f>SUM(O273:O277)</f>
        <v>868426</v>
      </c>
      <c r="P278" s="23"/>
      <c r="Q278" s="22">
        <f>SUM(Q273:Q277)</f>
        <v>14561</v>
      </c>
      <c r="R278" s="6"/>
    </row>
    <row r="279" spans="1:18" s="3" customFormat="1" ht="13.5" customHeight="1">
      <c r="A279" s="19"/>
      <c r="B279" s="20" t="s">
        <v>13</v>
      </c>
      <c r="C279" s="19"/>
      <c r="D279" s="23"/>
      <c r="E279" s="19"/>
      <c r="F279" s="23"/>
      <c r="G279" s="19"/>
      <c r="H279" s="23"/>
      <c r="I279" s="19"/>
      <c r="J279" s="19"/>
      <c r="K279" s="19"/>
      <c r="L279" s="19"/>
      <c r="M279" s="19"/>
      <c r="N279" s="19"/>
      <c r="O279" s="19"/>
      <c r="P279" s="19"/>
      <c r="Q279" s="19"/>
      <c r="R279" s="6"/>
    </row>
    <row r="280" spans="1:18" s="3" customFormat="1" ht="13.5" customHeight="1">
      <c r="A280" s="19" t="s">
        <v>234</v>
      </c>
      <c r="B280" s="20" t="s">
        <v>13</v>
      </c>
      <c r="C280" s="19" t="s">
        <v>13</v>
      </c>
      <c r="D280" s="23"/>
      <c r="E280" s="19" t="s">
        <v>13</v>
      </c>
      <c r="F280" s="23"/>
      <c r="G280" s="19" t="s">
        <v>13</v>
      </c>
      <c r="H280" s="23"/>
      <c r="I280" s="19" t="s">
        <v>13</v>
      </c>
      <c r="J280" s="19"/>
      <c r="K280" s="19"/>
      <c r="L280" s="19"/>
      <c r="M280" s="19" t="s">
        <v>13</v>
      </c>
      <c r="N280" s="19"/>
      <c r="O280" s="19" t="s">
        <v>13</v>
      </c>
      <c r="P280" s="19"/>
      <c r="Q280" s="19" t="s">
        <v>13</v>
      </c>
      <c r="R280" s="6"/>
    </row>
    <row r="281" spans="1:18" s="3" customFormat="1" ht="13.5" customHeight="1">
      <c r="A281" s="19" t="s">
        <v>41</v>
      </c>
      <c r="B281" s="20" t="s">
        <v>13</v>
      </c>
      <c r="C281" s="19">
        <v>712615</v>
      </c>
      <c r="D281" s="23"/>
      <c r="E281" s="19">
        <v>7113728</v>
      </c>
      <c r="F281" s="23"/>
      <c r="G281" s="19">
        <v>1243663</v>
      </c>
      <c r="H281" s="23"/>
      <c r="I281" s="19">
        <v>564246</v>
      </c>
      <c r="J281" s="19"/>
      <c r="K281" s="19">
        <f aca="true" t="shared" si="13" ref="K281:K288">IF(SUM(C281:I281)=SUM(M281:Q281),SUM(C281:I281),SUM(M281:Q281)-SUM(C281:I281))</f>
        <v>9634252</v>
      </c>
      <c r="L281" s="19"/>
      <c r="M281" s="19">
        <v>2937171</v>
      </c>
      <c r="N281" s="19"/>
      <c r="O281" s="19">
        <v>5000594</v>
      </c>
      <c r="P281" s="19"/>
      <c r="Q281" s="19">
        <f>1+1696486</f>
        <v>1696487</v>
      </c>
      <c r="R281" s="6"/>
    </row>
    <row r="282" spans="1:18" s="3" customFormat="1" ht="13.5" customHeight="1">
      <c r="A282" s="19" t="s">
        <v>42</v>
      </c>
      <c r="B282" s="20" t="s">
        <v>13</v>
      </c>
      <c r="C282" s="19">
        <v>514100</v>
      </c>
      <c r="D282" s="23"/>
      <c r="E282" s="19">
        <v>3707440</v>
      </c>
      <c r="F282" s="23"/>
      <c r="G282" s="19">
        <v>654317</v>
      </c>
      <c r="H282" s="23"/>
      <c r="I282" s="19">
        <v>858415</v>
      </c>
      <c r="J282" s="19"/>
      <c r="K282" s="19">
        <f t="shared" si="13"/>
        <v>5734272</v>
      </c>
      <c r="L282" s="19"/>
      <c r="M282" s="19">
        <v>1917665</v>
      </c>
      <c r="N282" s="19"/>
      <c r="O282" s="19">
        <v>3007487</v>
      </c>
      <c r="P282" s="19"/>
      <c r="Q282" s="19">
        <v>809120</v>
      </c>
      <c r="R282" s="6"/>
    </row>
    <row r="283" spans="1:18" s="3" customFormat="1" ht="13.5" customHeight="1">
      <c r="A283" s="19" t="s">
        <v>43</v>
      </c>
      <c r="B283" s="20" t="s">
        <v>13</v>
      </c>
      <c r="C283" s="19">
        <v>225474</v>
      </c>
      <c r="D283" s="23"/>
      <c r="E283" s="19">
        <v>610221</v>
      </c>
      <c r="F283" s="23"/>
      <c r="G283" s="19">
        <v>1009542</v>
      </c>
      <c r="H283" s="23"/>
      <c r="I283" s="19">
        <v>254216</v>
      </c>
      <c r="J283" s="19"/>
      <c r="K283" s="19">
        <f t="shared" si="13"/>
        <v>2099453</v>
      </c>
      <c r="L283" s="19"/>
      <c r="M283" s="19">
        <v>821505</v>
      </c>
      <c r="N283" s="19"/>
      <c r="O283" s="19">
        <v>928850</v>
      </c>
      <c r="P283" s="19"/>
      <c r="Q283" s="19">
        <f>1+349097</f>
        <v>349098</v>
      </c>
      <c r="R283" s="6"/>
    </row>
    <row r="284" spans="1:18" s="3" customFormat="1" ht="13.5" customHeight="1">
      <c r="A284" s="19" t="s">
        <v>31</v>
      </c>
      <c r="B284" s="20" t="s">
        <v>13</v>
      </c>
      <c r="C284" s="19">
        <v>0</v>
      </c>
      <c r="D284" s="23"/>
      <c r="E284" s="19">
        <v>0</v>
      </c>
      <c r="F284" s="23"/>
      <c r="G284" s="19">
        <v>26369</v>
      </c>
      <c r="H284" s="23"/>
      <c r="I284" s="19">
        <v>146382</v>
      </c>
      <c r="J284" s="19"/>
      <c r="K284" s="19">
        <f t="shared" si="13"/>
        <v>172751</v>
      </c>
      <c r="L284" s="19"/>
      <c r="M284" s="19">
        <v>33294</v>
      </c>
      <c r="N284" s="19"/>
      <c r="O284" s="19">
        <f>-1+139458</f>
        <v>139457</v>
      </c>
      <c r="P284" s="19"/>
      <c r="Q284" s="19">
        <v>0</v>
      </c>
      <c r="R284" s="6"/>
    </row>
    <row r="285" spans="1:18" s="3" customFormat="1" ht="13.5" customHeight="1">
      <c r="A285" s="19" t="s">
        <v>37</v>
      </c>
      <c r="B285" s="20" t="s">
        <v>13</v>
      </c>
      <c r="C285" s="19">
        <v>81448</v>
      </c>
      <c r="D285" s="23"/>
      <c r="E285" s="19">
        <v>897138</v>
      </c>
      <c r="F285" s="23"/>
      <c r="G285" s="19">
        <v>308522</v>
      </c>
      <c r="H285" s="23"/>
      <c r="I285" s="19">
        <v>52347</v>
      </c>
      <c r="J285" s="19"/>
      <c r="K285" s="19">
        <f t="shared" si="13"/>
        <v>1339455</v>
      </c>
      <c r="L285" s="19"/>
      <c r="M285" s="19">
        <v>752518</v>
      </c>
      <c r="N285" s="19"/>
      <c r="O285" s="19">
        <v>213971</v>
      </c>
      <c r="P285" s="19"/>
      <c r="Q285" s="19">
        <f>-1+372967</f>
        <v>372966</v>
      </c>
      <c r="R285" s="6"/>
    </row>
    <row r="286" spans="1:18" s="3" customFormat="1" ht="13.5" customHeight="1">
      <c r="A286" s="19" t="s">
        <v>207</v>
      </c>
      <c r="B286" s="20"/>
      <c r="C286" s="19">
        <v>-486</v>
      </c>
      <c r="D286" s="23"/>
      <c r="E286" s="19">
        <v>268543</v>
      </c>
      <c r="F286" s="23"/>
      <c r="G286" s="19">
        <v>125038</v>
      </c>
      <c r="H286" s="23"/>
      <c r="I286" s="19">
        <v>34111</v>
      </c>
      <c r="J286" s="19"/>
      <c r="K286" s="19">
        <f t="shared" si="13"/>
        <v>427206</v>
      </c>
      <c r="L286" s="19"/>
      <c r="M286" s="19">
        <v>132916</v>
      </c>
      <c r="N286" s="19"/>
      <c r="O286" s="19">
        <v>226700</v>
      </c>
      <c r="P286" s="19"/>
      <c r="Q286" s="19">
        <v>67590</v>
      </c>
      <c r="R286" s="6"/>
    </row>
    <row r="287" spans="1:18" s="3" customFormat="1" ht="13.5" customHeight="1">
      <c r="A287" s="19" t="s">
        <v>44</v>
      </c>
      <c r="B287" s="20" t="s">
        <v>13</v>
      </c>
      <c r="C287" s="19">
        <v>2782640</v>
      </c>
      <c r="D287" s="23"/>
      <c r="E287" s="19">
        <v>5158691</v>
      </c>
      <c r="F287" s="23"/>
      <c r="G287" s="19">
        <v>1323817</v>
      </c>
      <c r="H287" s="23"/>
      <c r="I287" s="19">
        <v>823806</v>
      </c>
      <c r="J287" s="19"/>
      <c r="K287" s="21">
        <f t="shared" si="13"/>
        <v>10088954</v>
      </c>
      <c r="L287" s="19"/>
      <c r="M287" s="24">
        <v>5051719</v>
      </c>
      <c r="N287" s="19"/>
      <c r="O287" s="24">
        <v>3317085</v>
      </c>
      <c r="P287" s="19"/>
      <c r="Q287" s="24">
        <v>1720150</v>
      </c>
      <c r="R287" s="6"/>
    </row>
    <row r="288" spans="1:18" s="3" customFormat="1" ht="13.5" customHeight="1">
      <c r="A288" s="19" t="s">
        <v>235</v>
      </c>
      <c r="B288" s="20" t="s">
        <v>13</v>
      </c>
      <c r="C288" s="34">
        <f>SUM(C281:C287)</f>
        <v>4315791</v>
      </c>
      <c r="D288" s="23"/>
      <c r="E288" s="34">
        <f>SUM(E281:E287)</f>
        <v>17755761</v>
      </c>
      <c r="F288" s="23"/>
      <c r="G288" s="34">
        <f>SUM(G281:G287)</f>
        <v>4691268</v>
      </c>
      <c r="H288" s="23"/>
      <c r="I288" s="34">
        <f>SUM(I281:I287)</f>
        <v>2733523</v>
      </c>
      <c r="J288" s="19"/>
      <c r="K288" s="22">
        <f t="shared" si="13"/>
        <v>29496343</v>
      </c>
      <c r="L288" s="19"/>
      <c r="M288" s="21">
        <f>SUM(M281:M287)</f>
        <v>11646788</v>
      </c>
      <c r="N288" s="19"/>
      <c r="O288" s="21">
        <f>SUM(O281:O287)</f>
        <v>12834144</v>
      </c>
      <c r="P288" s="19"/>
      <c r="Q288" s="21">
        <f>SUM(Q281:Q287)</f>
        <v>5015411</v>
      </c>
      <c r="R288" s="6"/>
    </row>
    <row r="289" spans="1:18" s="3" customFormat="1" ht="13.5" customHeight="1">
      <c r="A289" s="19"/>
      <c r="B289" s="20"/>
      <c r="C289" s="23"/>
      <c r="D289" s="23"/>
      <c r="E289" s="23"/>
      <c r="F289" s="23"/>
      <c r="G289" s="23"/>
      <c r="H289" s="23"/>
      <c r="I289" s="23"/>
      <c r="J289" s="19"/>
      <c r="K289" s="23"/>
      <c r="L289" s="19"/>
      <c r="M289" s="23"/>
      <c r="N289" s="19"/>
      <c r="O289" s="23"/>
      <c r="P289" s="19"/>
      <c r="Q289" s="23"/>
      <c r="R289" s="6"/>
    </row>
    <row r="290" spans="1:18" s="3" customFormat="1" ht="13.5" customHeight="1">
      <c r="A290" s="19" t="s">
        <v>265</v>
      </c>
      <c r="B290" s="20"/>
      <c r="C290" s="19"/>
      <c r="D290" s="23"/>
      <c r="E290" s="19"/>
      <c r="F290" s="23"/>
      <c r="G290" s="19"/>
      <c r="H290" s="23"/>
      <c r="I290" s="19"/>
      <c r="J290" s="19"/>
      <c r="K290" s="19"/>
      <c r="L290" s="19"/>
      <c r="M290" s="19"/>
      <c r="N290" s="19"/>
      <c r="O290" s="19"/>
      <c r="P290" s="19"/>
      <c r="Q290" s="19"/>
      <c r="R290" s="6"/>
    </row>
    <row r="291" spans="1:18" s="3" customFormat="1" ht="13.5" customHeight="1">
      <c r="A291" s="19" t="s">
        <v>229</v>
      </c>
      <c r="B291" s="20"/>
      <c r="C291" s="19">
        <v>0</v>
      </c>
      <c r="D291" s="23"/>
      <c r="E291" s="19">
        <v>0</v>
      </c>
      <c r="F291" s="23"/>
      <c r="G291" s="19">
        <v>0</v>
      </c>
      <c r="H291" s="23"/>
      <c r="I291" s="19">
        <v>14283</v>
      </c>
      <c r="J291" s="19"/>
      <c r="K291" s="21">
        <f>IF(SUM(C291:I291)=SUM(M291:Q291),SUM(C291:I291),SUM(M291:Q291)-SUM(C291:I291))</f>
        <v>14283</v>
      </c>
      <c r="L291" s="19"/>
      <c r="M291" s="24">
        <v>0</v>
      </c>
      <c r="N291" s="19"/>
      <c r="O291" s="24">
        <v>14283</v>
      </c>
      <c r="P291" s="19"/>
      <c r="Q291" s="24">
        <v>0</v>
      </c>
      <c r="R291" s="6"/>
    </row>
    <row r="292" spans="1:18" s="3" customFormat="1" ht="13.5" customHeight="1">
      <c r="A292" s="19" t="s">
        <v>149</v>
      </c>
      <c r="B292" s="20"/>
      <c r="C292" s="22">
        <f>SUM(C291)</f>
        <v>0</v>
      </c>
      <c r="D292" s="23"/>
      <c r="E292" s="22">
        <f>SUM(E291)</f>
        <v>0</v>
      </c>
      <c r="F292" s="23"/>
      <c r="G292" s="22">
        <f>SUM(G291)</f>
        <v>0</v>
      </c>
      <c r="H292" s="23"/>
      <c r="I292" s="22">
        <f>SUM(I291)</f>
        <v>14283</v>
      </c>
      <c r="J292" s="19"/>
      <c r="K292" s="22">
        <f>IF(SUM(C292:I292)=SUM(M292:Q292),SUM(C292:I292),SUM(M292:Q292)-SUM(C292:I292))</f>
        <v>14283</v>
      </c>
      <c r="L292" s="19"/>
      <c r="M292" s="22">
        <f>SUM(M291)</f>
        <v>0</v>
      </c>
      <c r="N292" s="19"/>
      <c r="O292" s="22">
        <f>SUM(O291)</f>
        <v>14283</v>
      </c>
      <c r="P292" s="19"/>
      <c r="Q292" s="22">
        <f>SUM(Q291)</f>
        <v>0</v>
      </c>
      <c r="R292" s="6"/>
    </row>
    <row r="293" spans="1:18" s="3" customFormat="1" ht="13.5" customHeight="1">
      <c r="A293" s="19"/>
      <c r="B293" s="20" t="s">
        <v>13</v>
      </c>
      <c r="C293" s="19"/>
      <c r="D293" s="23"/>
      <c r="E293" s="19"/>
      <c r="F293" s="23"/>
      <c r="G293" s="19"/>
      <c r="H293" s="23"/>
      <c r="I293" s="19"/>
      <c r="J293" s="19"/>
      <c r="K293" s="19"/>
      <c r="L293" s="19"/>
      <c r="M293" s="19"/>
      <c r="N293" s="19"/>
      <c r="O293" s="19"/>
      <c r="P293" s="19"/>
      <c r="Q293" s="19"/>
      <c r="R293" s="6"/>
    </row>
    <row r="294" spans="1:18" s="3" customFormat="1" ht="13.5" customHeight="1">
      <c r="A294" s="19" t="s">
        <v>222</v>
      </c>
      <c r="B294" s="20" t="s">
        <v>13</v>
      </c>
      <c r="C294" s="21">
        <v>0</v>
      </c>
      <c r="D294" s="23"/>
      <c r="E294" s="21">
        <v>264203</v>
      </c>
      <c r="F294" s="23"/>
      <c r="G294" s="21">
        <v>0</v>
      </c>
      <c r="H294" s="23"/>
      <c r="I294" s="21">
        <v>0</v>
      </c>
      <c r="J294" s="19"/>
      <c r="K294" s="21">
        <f>IF(SUM(C294:I294)=SUM(M294:Q294),SUM(C294:I294),SUM(M294:Q294)-SUM(C294:I294))</f>
        <v>264203</v>
      </c>
      <c r="L294" s="19"/>
      <c r="M294" s="24">
        <v>154246</v>
      </c>
      <c r="N294" s="19"/>
      <c r="O294" s="24">
        <v>96273</v>
      </c>
      <c r="P294" s="19"/>
      <c r="Q294" s="24">
        <v>13684</v>
      </c>
      <c r="R294" s="6"/>
    </row>
    <row r="295" spans="1:18" s="3" customFormat="1" ht="13.5" customHeight="1">
      <c r="A295" s="19"/>
      <c r="B295" s="20"/>
      <c r="C295" s="23"/>
      <c r="D295" s="23"/>
      <c r="E295" s="23"/>
      <c r="F295" s="23"/>
      <c r="G295" s="23"/>
      <c r="H295" s="23"/>
      <c r="I295" s="23"/>
      <c r="J295" s="19"/>
      <c r="K295" s="23"/>
      <c r="L295" s="19"/>
      <c r="M295" s="23"/>
      <c r="N295" s="19"/>
      <c r="O295" s="23"/>
      <c r="P295" s="19"/>
      <c r="Q295" s="23"/>
      <c r="R295" s="6"/>
    </row>
    <row r="296" spans="1:18" s="3" customFormat="1" ht="13.5" customHeight="1">
      <c r="A296" s="19" t="s">
        <v>298</v>
      </c>
      <c r="B296" s="20" t="s">
        <v>13</v>
      </c>
      <c r="C296" s="21">
        <v>0</v>
      </c>
      <c r="D296" s="23"/>
      <c r="E296" s="21">
        <v>0</v>
      </c>
      <c r="F296" s="23"/>
      <c r="G296" s="21">
        <v>114083</v>
      </c>
      <c r="H296" s="23"/>
      <c r="I296" s="21">
        <v>0</v>
      </c>
      <c r="J296" s="19"/>
      <c r="K296" s="21">
        <f>IF(SUM(C296:I296)=SUM(M296:Q296),SUM(C296:I296),SUM(M296:Q296)-SUM(C296:I296))</f>
        <v>114083</v>
      </c>
      <c r="L296" s="19"/>
      <c r="M296" s="24">
        <v>70531</v>
      </c>
      <c r="N296" s="19"/>
      <c r="O296" s="24">
        <v>6553</v>
      </c>
      <c r="P296" s="19"/>
      <c r="Q296" s="24">
        <f>-1+37000</f>
        <v>36999</v>
      </c>
      <c r="R296" s="6"/>
    </row>
    <row r="297" spans="1:18" s="3" customFormat="1" ht="13.5" customHeight="1">
      <c r="A297" s="19"/>
      <c r="B297" s="20"/>
      <c r="C297" s="23"/>
      <c r="D297" s="23"/>
      <c r="E297" s="23"/>
      <c r="F297" s="23"/>
      <c r="G297" s="23"/>
      <c r="H297" s="23"/>
      <c r="I297" s="23"/>
      <c r="J297" s="19"/>
      <c r="K297" s="23"/>
      <c r="L297" s="19"/>
      <c r="M297" s="23"/>
      <c r="N297" s="19"/>
      <c r="O297" s="23"/>
      <c r="P297" s="19"/>
      <c r="Q297" s="23"/>
      <c r="R297" s="6"/>
    </row>
    <row r="298" spans="1:18" s="3" customFormat="1" ht="13.5" customHeight="1">
      <c r="A298" s="19" t="s">
        <v>317</v>
      </c>
      <c r="B298" s="20" t="s">
        <v>13</v>
      </c>
      <c r="C298" s="21">
        <v>0</v>
      </c>
      <c r="D298" s="23"/>
      <c r="E298" s="21">
        <v>0</v>
      </c>
      <c r="F298" s="23"/>
      <c r="G298" s="21">
        <v>0</v>
      </c>
      <c r="H298" s="23"/>
      <c r="I298" s="21">
        <v>1132</v>
      </c>
      <c r="J298" s="19"/>
      <c r="K298" s="21">
        <f>IF(SUM(C298:I298)=SUM(M298:Q298),SUM(C298:I298),SUM(M298:Q298)-SUM(C298:I298))</f>
        <v>1132</v>
      </c>
      <c r="L298" s="19"/>
      <c r="M298" s="24">
        <v>0</v>
      </c>
      <c r="N298" s="19"/>
      <c r="O298" s="24">
        <v>1132</v>
      </c>
      <c r="P298" s="19"/>
      <c r="Q298" s="24">
        <v>0</v>
      </c>
      <c r="R298" s="6"/>
    </row>
    <row r="299" spans="1:18" s="3" customFormat="1" ht="13.5" customHeight="1">
      <c r="A299" s="19"/>
      <c r="B299" s="20" t="s">
        <v>13</v>
      </c>
      <c r="C299" s="19"/>
      <c r="D299" s="23"/>
      <c r="E299" s="19"/>
      <c r="F299" s="23"/>
      <c r="G299" s="19"/>
      <c r="H299" s="23"/>
      <c r="I299" s="19"/>
      <c r="J299" s="19"/>
      <c r="K299" s="19"/>
      <c r="L299" s="19"/>
      <c r="M299" s="19"/>
      <c r="N299" s="19"/>
      <c r="O299" s="19"/>
      <c r="P299" s="19"/>
      <c r="Q299" s="19"/>
      <c r="R299" s="6"/>
    </row>
    <row r="300" spans="1:18" s="3" customFormat="1" ht="13.5" customHeight="1">
      <c r="A300" s="19" t="s">
        <v>20</v>
      </c>
      <c r="B300" s="20" t="s">
        <v>13</v>
      </c>
      <c r="C300" s="19"/>
      <c r="D300" s="23"/>
      <c r="E300" s="19"/>
      <c r="F300" s="23"/>
      <c r="G300" s="19"/>
      <c r="H300" s="23"/>
      <c r="I300" s="19"/>
      <c r="J300" s="19"/>
      <c r="K300" s="19"/>
      <c r="L300" s="19"/>
      <c r="M300" s="19"/>
      <c r="N300" s="19"/>
      <c r="O300" s="19"/>
      <c r="P300" s="19"/>
      <c r="Q300" s="19"/>
      <c r="R300" s="6"/>
    </row>
    <row r="301" spans="1:18" s="3" customFormat="1" ht="13.5" customHeight="1">
      <c r="A301" s="19" t="s">
        <v>191</v>
      </c>
      <c r="B301" s="20"/>
      <c r="C301" s="19">
        <v>0</v>
      </c>
      <c r="D301" s="23"/>
      <c r="E301" s="19">
        <v>0</v>
      </c>
      <c r="F301" s="23"/>
      <c r="G301" s="19">
        <v>0</v>
      </c>
      <c r="H301" s="23"/>
      <c r="I301" s="19">
        <v>89446</v>
      </c>
      <c r="J301" s="19"/>
      <c r="K301" s="19">
        <f aca="true" t="shared" si="14" ref="K301:K311">IF(SUM(C301:I301)=SUM(M301:Q301),SUM(C301:I301),SUM(M301:Q301)-SUM(C301:I301))</f>
        <v>89446</v>
      </c>
      <c r="L301" s="19"/>
      <c r="M301" s="19">
        <v>1420</v>
      </c>
      <c r="N301" s="19"/>
      <c r="O301" s="19">
        <v>88026</v>
      </c>
      <c r="P301" s="19"/>
      <c r="Q301" s="19">
        <v>0</v>
      </c>
      <c r="R301" s="6"/>
    </row>
    <row r="302" spans="1:18" s="3" customFormat="1" ht="13.5" customHeight="1">
      <c r="A302" s="19" t="s">
        <v>67</v>
      </c>
      <c r="B302" s="20" t="s">
        <v>13</v>
      </c>
      <c r="C302" s="19">
        <v>90199</v>
      </c>
      <c r="D302" s="23"/>
      <c r="E302" s="19">
        <v>0</v>
      </c>
      <c r="F302" s="23"/>
      <c r="G302" s="19">
        <v>333095</v>
      </c>
      <c r="H302" s="23"/>
      <c r="I302" s="19">
        <v>14961</v>
      </c>
      <c r="J302" s="19"/>
      <c r="K302" s="19">
        <f t="shared" si="14"/>
        <v>438255</v>
      </c>
      <c r="L302" s="19"/>
      <c r="M302" s="19">
        <v>102820</v>
      </c>
      <c r="N302" s="19"/>
      <c r="O302" s="19">
        <v>287489</v>
      </c>
      <c r="P302" s="19"/>
      <c r="Q302" s="19">
        <v>47946</v>
      </c>
      <c r="R302" s="6"/>
    </row>
    <row r="303" spans="1:18" s="3" customFormat="1" ht="13.5" customHeight="1">
      <c r="A303" s="19" t="s">
        <v>86</v>
      </c>
      <c r="B303" s="20" t="s">
        <v>13</v>
      </c>
      <c r="C303" s="19">
        <v>4314</v>
      </c>
      <c r="D303" s="23"/>
      <c r="E303" s="19">
        <v>593200</v>
      </c>
      <c r="F303" s="23"/>
      <c r="G303" s="19">
        <v>478692</v>
      </c>
      <c r="H303" s="23"/>
      <c r="I303" s="19">
        <v>7928</v>
      </c>
      <c r="J303" s="19"/>
      <c r="K303" s="19">
        <f>IF(SUM(C303:I303)=SUM(M303:Q303),SUM(C303:I303),SUM(M303:Q303)-SUM(C303:I303))</f>
        <v>1084134</v>
      </c>
      <c r="L303" s="19"/>
      <c r="M303" s="19">
        <v>497272</v>
      </c>
      <c r="N303" s="19"/>
      <c r="O303" s="19">
        <v>314930</v>
      </c>
      <c r="P303" s="19"/>
      <c r="Q303" s="19">
        <v>271932</v>
      </c>
      <c r="R303" s="6"/>
    </row>
    <row r="304" spans="1:18" s="3" customFormat="1" ht="13.5" customHeight="1">
      <c r="A304" s="19" t="s">
        <v>87</v>
      </c>
      <c r="B304" s="20" t="s">
        <v>13</v>
      </c>
      <c r="C304" s="19">
        <v>0</v>
      </c>
      <c r="D304" s="23"/>
      <c r="E304" s="19">
        <v>0</v>
      </c>
      <c r="F304" s="23"/>
      <c r="G304" s="19">
        <v>9352</v>
      </c>
      <c r="H304" s="23"/>
      <c r="I304" s="19">
        <v>950</v>
      </c>
      <c r="J304" s="19"/>
      <c r="K304" s="19">
        <f t="shared" si="14"/>
        <v>10302</v>
      </c>
      <c r="L304" s="19"/>
      <c r="M304" s="19">
        <v>7081</v>
      </c>
      <c r="N304" s="19"/>
      <c r="O304" s="19">
        <v>3221</v>
      </c>
      <c r="P304" s="19"/>
      <c r="Q304" s="19">
        <v>0</v>
      </c>
      <c r="R304" s="6"/>
    </row>
    <row r="305" spans="1:18" s="3" customFormat="1" ht="13.5" customHeight="1">
      <c r="A305" s="19" t="s">
        <v>88</v>
      </c>
      <c r="B305" s="20"/>
      <c r="C305" s="19">
        <v>0</v>
      </c>
      <c r="D305" s="23"/>
      <c r="E305" s="19">
        <v>32011</v>
      </c>
      <c r="F305" s="23"/>
      <c r="G305" s="19">
        <v>0</v>
      </c>
      <c r="H305" s="23"/>
      <c r="I305" s="19">
        <v>0</v>
      </c>
      <c r="J305" s="19"/>
      <c r="K305" s="19">
        <f>IF(SUM(C305:I305)=SUM(M305:Q305),SUM(C305:I305),SUM(M305:Q305)-SUM(C305:I305))</f>
        <v>32011</v>
      </c>
      <c r="L305" s="19"/>
      <c r="M305" s="19">
        <v>1669</v>
      </c>
      <c r="N305" s="19"/>
      <c r="O305" s="19">
        <v>27703</v>
      </c>
      <c r="P305" s="19"/>
      <c r="Q305" s="19">
        <v>2639</v>
      </c>
      <c r="R305" s="6"/>
    </row>
    <row r="306" spans="1:18" s="3" customFormat="1" ht="13.5" customHeight="1">
      <c r="A306" s="19" t="s">
        <v>238</v>
      </c>
      <c r="B306" s="20"/>
      <c r="C306" s="19">
        <v>0</v>
      </c>
      <c r="D306" s="23"/>
      <c r="E306" s="19">
        <v>0</v>
      </c>
      <c r="F306" s="23"/>
      <c r="G306" s="19">
        <v>97</v>
      </c>
      <c r="H306" s="23"/>
      <c r="I306" s="19">
        <v>1207</v>
      </c>
      <c r="J306" s="19"/>
      <c r="K306" s="19">
        <f t="shared" si="14"/>
        <v>1304</v>
      </c>
      <c r="L306" s="19"/>
      <c r="M306" s="19">
        <v>0</v>
      </c>
      <c r="N306" s="19"/>
      <c r="O306" s="19">
        <v>1304</v>
      </c>
      <c r="P306" s="19"/>
      <c r="Q306" s="19">
        <v>0</v>
      </c>
      <c r="R306" s="6"/>
    </row>
    <row r="307" spans="1:23" s="3" customFormat="1" ht="13.5" customHeight="1">
      <c r="A307" s="19" t="s">
        <v>31</v>
      </c>
      <c r="B307" s="20" t="s">
        <v>13</v>
      </c>
      <c r="C307" s="19">
        <v>0</v>
      </c>
      <c r="D307" s="23"/>
      <c r="E307" s="19">
        <v>0</v>
      </c>
      <c r="F307" s="23"/>
      <c r="G307" s="19">
        <v>342171</v>
      </c>
      <c r="H307" s="23"/>
      <c r="I307" s="19">
        <v>44906</v>
      </c>
      <c r="J307" s="19"/>
      <c r="K307" s="19">
        <f t="shared" si="14"/>
        <v>387077</v>
      </c>
      <c r="L307" s="19"/>
      <c r="M307" s="19">
        <v>39918</v>
      </c>
      <c r="N307" s="19"/>
      <c r="O307" s="19">
        <v>347159</v>
      </c>
      <c r="P307" s="19"/>
      <c r="Q307" s="19">
        <v>0</v>
      </c>
      <c r="R307" s="6" t="s">
        <v>14</v>
      </c>
      <c r="T307" s="3" t="s">
        <v>14</v>
      </c>
      <c r="U307" s="3" t="s">
        <v>14</v>
      </c>
      <c r="V307" s="3" t="s">
        <v>14</v>
      </c>
      <c r="W307" s="3" t="s">
        <v>14</v>
      </c>
    </row>
    <row r="308" spans="1:18" s="3" customFormat="1" ht="13.5" customHeight="1">
      <c r="A308" s="19" t="s">
        <v>89</v>
      </c>
      <c r="B308" s="20" t="s">
        <v>13</v>
      </c>
      <c r="C308" s="19">
        <v>172922</v>
      </c>
      <c r="D308" s="23"/>
      <c r="E308" s="19">
        <v>4712989</v>
      </c>
      <c r="F308" s="23"/>
      <c r="G308" s="19">
        <v>526529</v>
      </c>
      <c r="H308" s="23"/>
      <c r="I308" s="19">
        <v>62103</v>
      </c>
      <c r="J308" s="19"/>
      <c r="K308" s="23">
        <f t="shared" si="14"/>
        <v>5474543</v>
      </c>
      <c r="L308" s="19"/>
      <c r="M308" s="19">
        <v>2271756</v>
      </c>
      <c r="N308" s="19"/>
      <c r="O308" s="19">
        <v>1817877</v>
      </c>
      <c r="P308" s="19"/>
      <c r="Q308" s="19">
        <v>1384910</v>
      </c>
      <c r="R308" s="6"/>
    </row>
    <row r="309" spans="1:18" s="3" customFormat="1" ht="13.5" customHeight="1">
      <c r="A309" s="19" t="s">
        <v>124</v>
      </c>
      <c r="B309" s="20" t="s">
        <v>13</v>
      </c>
      <c r="C309" s="22">
        <f>SUM(C301:C308)</f>
        <v>267435</v>
      </c>
      <c r="D309" s="23"/>
      <c r="E309" s="22">
        <f>SUM(E301:E308)</f>
        <v>5338200</v>
      </c>
      <c r="F309" s="23"/>
      <c r="G309" s="22">
        <f>SUM(G301:G308)</f>
        <v>1689936</v>
      </c>
      <c r="H309" s="23"/>
      <c r="I309" s="22">
        <f>SUM(I301:I308)</f>
        <v>221501</v>
      </c>
      <c r="J309" s="19"/>
      <c r="K309" s="22">
        <f t="shared" si="14"/>
        <v>7517072</v>
      </c>
      <c r="L309" s="19"/>
      <c r="M309" s="22">
        <f>SUM(M301:M308)</f>
        <v>2921936</v>
      </c>
      <c r="N309" s="19"/>
      <c r="O309" s="22">
        <f>SUM(O301:O308)</f>
        <v>2887709</v>
      </c>
      <c r="P309" s="19"/>
      <c r="Q309" s="22">
        <f>SUM(Q301:Q308)</f>
        <v>1707427</v>
      </c>
      <c r="R309" s="6"/>
    </row>
    <row r="310" spans="1:18" s="3" customFormat="1" ht="13.5" customHeight="1">
      <c r="A310" s="19"/>
      <c r="B310" s="20" t="s">
        <v>13</v>
      </c>
      <c r="C310" s="19"/>
      <c r="D310" s="23"/>
      <c r="E310" s="19"/>
      <c r="F310" s="23"/>
      <c r="G310" s="19"/>
      <c r="H310" s="23"/>
      <c r="I310" s="19"/>
      <c r="J310" s="19"/>
      <c r="K310" s="23"/>
      <c r="L310" s="19"/>
      <c r="M310" s="19"/>
      <c r="N310" s="19"/>
      <c r="O310" s="19"/>
      <c r="P310" s="19"/>
      <c r="Q310" s="19"/>
      <c r="R310" s="6"/>
    </row>
    <row r="311" spans="1:18" s="3" customFormat="1" ht="13.5" customHeight="1">
      <c r="A311" s="19" t="s">
        <v>130</v>
      </c>
      <c r="B311" s="20" t="s">
        <v>13</v>
      </c>
      <c r="C311" s="21">
        <f>SUM(C309,C256,C294,C278,C270,C266,C264,C262,C228,C226,C224,C208,C200,C198,C196,C194,C288,C247,C182,C174,C260,C268,C296,C292,C298,C258,C230)</f>
        <v>25229624</v>
      </c>
      <c r="D311" s="23"/>
      <c r="E311" s="21">
        <f>SUM(E309,E256,E294,E278,E270,E266,E264,E262,E228,E226,E224,E208,E200,E198,E196,E194,E288,E247,E182,E174,E260,E268,E296,E292,E298,E258,E230)</f>
        <v>37247453</v>
      </c>
      <c r="F311" s="23"/>
      <c r="G311" s="21">
        <f>SUM(G309,G256,G294,G278,G270,G266,G264,G262,G228,G226,G224,G208,G200,G198,G196,G194,G288,G247,G182,G174,G260,G268,G296,G292,G298,G258,G230)</f>
        <v>19740320</v>
      </c>
      <c r="H311" s="23"/>
      <c r="I311" s="21">
        <f>SUM(I309,I256,I294,I278,I270,I266,I264,I262,I228,I226,I224,I208,I200,I198,I196,I194,I288,I247,I182,I174,I260,I268,I296,I292,I298,I258,I230)</f>
        <v>9004126</v>
      </c>
      <c r="J311" s="23"/>
      <c r="K311" s="21">
        <f t="shared" si="14"/>
        <v>91221523</v>
      </c>
      <c r="L311" s="23"/>
      <c r="M311" s="21">
        <f>SUM(M309,M256,M294,M278,M270,M266,M264,M262,M228,M226,M224,M208,M200,M198,M196,M194,M288,M247,M182,M174,M260,M268,M296,M292,M298,M258,M230)</f>
        <v>45024599</v>
      </c>
      <c r="N311" s="23"/>
      <c r="O311" s="21">
        <f>SUM(O309,O256,O294,O278,O270,O266,O264,O262,O228,O226,O224,O208,O200,O198,O196,O194,O288,O247,O182,O174,O260,O268,O296,O292,O298,O258,O230)</f>
        <v>30210557</v>
      </c>
      <c r="P311" s="23"/>
      <c r="Q311" s="21">
        <f>SUM(Q309,Q256,Q294,Q278,Q270,Q266,Q264,Q262,Q228,Q226,Q224,Q208,Q200,Q198,Q196,Q194,Q288,Q247,Q182,Q174,Q260,Q268,Q296,Q292,Q298,Q258,Q230)</f>
        <v>15986367</v>
      </c>
      <c r="R311" s="6"/>
    </row>
    <row r="312" spans="1:18" s="3" customFormat="1" ht="13.5" customHeight="1">
      <c r="A312" s="19"/>
      <c r="B312" s="20" t="s">
        <v>13</v>
      </c>
      <c r="C312" s="19"/>
      <c r="D312" s="23"/>
      <c r="E312" s="19"/>
      <c r="F312" s="23"/>
      <c r="G312" s="19"/>
      <c r="H312" s="23"/>
      <c r="I312" s="19"/>
      <c r="J312" s="23"/>
      <c r="K312" s="19"/>
      <c r="L312" s="19"/>
      <c r="M312" s="19"/>
      <c r="N312" s="19"/>
      <c r="O312" s="19"/>
      <c r="P312" s="19"/>
      <c r="Q312" s="19"/>
      <c r="R312" s="6"/>
    </row>
    <row r="313" spans="1:18" s="3" customFormat="1" ht="13.5" customHeight="1">
      <c r="A313" s="19" t="s">
        <v>161</v>
      </c>
      <c r="B313" s="20" t="s">
        <v>13</v>
      </c>
      <c r="C313" s="19"/>
      <c r="D313" s="23"/>
      <c r="E313" s="19"/>
      <c r="F313" s="23"/>
      <c r="G313" s="19"/>
      <c r="H313" s="23"/>
      <c r="I313" s="19"/>
      <c r="J313" s="19"/>
      <c r="K313" s="19"/>
      <c r="L313" s="19"/>
      <c r="M313" s="19"/>
      <c r="N313" s="19"/>
      <c r="O313" s="19"/>
      <c r="P313" s="19"/>
      <c r="Q313" s="19"/>
      <c r="R313" s="6"/>
    </row>
    <row r="314" spans="1:18" s="3" customFormat="1" ht="13.5" customHeight="1">
      <c r="A314" s="19"/>
      <c r="B314" s="20"/>
      <c r="C314" s="19"/>
      <c r="D314" s="23"/>
      <c r="E314" s="19"/>
      <c r="F314" s="23"/>
      <c r="G314" s="19"/>
      <c r="H314" s="23"/>
      <c r="I314" s="19"/>
      <c r="J314" s="19"/>
      <c r="K314" s="19"/>
      <c r="L314" s="19"/>
      <c r="M314" s="19"/>
      <c r="N314" s="19"/>
      <c r="O314" s="19"/>
      <c r="P314" s="19"/>
      <c r="Q314" s="19"/>
      <c r="R314" s="6"/>
    </row>
    <row r="315" spans="1:18" s="3" customFormat="1" ht="13.5" customHeight="1">
      <c r="A315" s="19" t="s">
        <v>223</v>
      </c>
      <c r="B315" s="20" t="s">
        <v>13</v>
      </c>
      <c r="C315" s="21">
        <v>152087</v>
      </c>
      <c r="D315" s="23"/>
      <c r="E315" s="21">
        <v>0</v>
      </c>
      <c r="F315" s="23"/>
      <c r="G315" s="21">
        <v>5016</v>
      </c>
      <c r="H315" s="23"/>
      <c r="I315" s="21">
        <v>0</v>
      </c>
      <c r="J315" s="19"/>
      <c r="K315" s="21">
        <f>IF(SUM(C315:I315)=SUM(M315:Q315),SUM(C315:I315),SUM(M315:Q315)-SUM(C315:I315))</f>
        <v>157103</v>
      </c>
      <c r="L315" s="19"/>
      <c r="M315" s="24">
        <v>99400</v>
      </c>
      <c r="N315" s="19"/>
      <c r="O315" s="24">
        <v>40246</v>
      </c>
      <c r="P315" s="19"/>
      <c r="Q315" s="24">
        <v>17457</v>
      </c>
      <c r="R315" s="6"/>
    </row>
    <row r="316" spans="1:18" s="3" customFormat="1" ht="13.5" customHeight="1">
      <c r="A316" s="19"/>
      <c r="B316" s="20" t="s">
        <v>13</v>
      </c>
      <c r="C316" s="19"/>
      <c r="D316" s="23"/>
      <c r="E316" s="19"/>
      <c r="F316" s="23"/>
      <c r="G316" s="19"/>
      <c r="H316" s="23"/>
      <c r="I316" s="19"/>
      <c r="J316" s="19"/>
      <c r="K316" s="19"/>
      <c r="L316" s="19"/>
      <c r="M316" s="19"/>
      <c r="N316" s="19"/>
      <c r="O316" s="19"/>
      <c r="P316" s="19"/>
      <c r="Q316" s="19"/>
      <c r="R316" s="6"/>
    </row>
    <row r="317" spans="1:18" s="4" customFormat="1" ht="13.5" customHeight="1">
      <c r="A317" s="19" t="s">
        <v>299</v>
      </c>
      <c r="B317" s="20" t="s">
        <v>13</v>
      </c>
      <c r="C317" s="19"/>
      <c r="D317" s="23"/>
      <c r="E317" s="19"/>
      <c r="F317" s="23"/>
      <c r="G317" s="19"/>
      <c r="H317" s="23"/>
      <c r="I317" s="19"/>
      <c r="J317" s="19"/>
      <c r="K317" s="19"/>
      <c r="L317" s="19"/>
      <c r="M317" s="19"/>
      <c r="N317" s="19"/>
      <c r="O317" s="19"/>
      <c r="P317" s="19"/>
      <c r="Q317" s="19"/>
      <c r="R317" s="7"/>
    </row>
    <row r="318" spans="1:18" s="4" customFormat="1" ht="13.5" customHeight="1">
      <c r="A318" s="19" t="s">
        <v>31</v>
      </c>
      <c r="B318" s="20" t="s">
        <v>13</v>
      </c>
      <c r="C318" s="19">
        <v>0</v>
      </c>
      <c r="D318" s="23"/>
      <c r="E318" s="19">
        <v>0</v>
      </c>
      <c r="F318" s="23"/>
      <c r="G318" s="19">
        <v>1000</v>
      </c>
      <c r="H318" s="23"/>
      <c r="I318" s="19">
        <v>0</v>
      </c>
      <c r="J318" s="19"/>
      <c r="K318" s="19">
        <f>IF(SUM(C318:I318)=SUM(M318:Q318),SUM(C318:I318),SUM(M318:Q318)-SUM(C318:I318))</f>
        <v>1000</v>
      </c>
      <c r="L318" s="19"/>
      <c r="M318" s="19">
        <v>0</v>
      </c>
      <c r="N318" s="19"/>
      <c r="O318" s="19">
        <v>1000</v>
      </c>
      <c r="P318" s="19"/>
      <c r="Q318" s="19">
        <v>0</v>
      </c>
      <c r="R318" s="7"/>
    </row>
    <row r="319" spans="1:18" s="3" customFormat="1" ht="13.5" customHeight="1">
      <c r="A319" s="19" t="s">
        <v>300</v>
      </c>
      <c r="B319" s="20" t="s">
        <v>13</v>
      </c>
      <c r="C319" s="22">
        <f>SUM(C318)</f>
        <v>0</v>
      </c>
      <c r="D319" s="23"/>
      <c r="E319" s="22">
        <f>SUM(E318)</f>
        <v>0</v>
      </c>
      <c r="F319" s="23"/>
      <c r="G319" s="22">
        <f>SUM(G318)</f>
        <v>1000</v>
      </c>
      <c r="H319" s="23"/>
      <c r="I319" s="22">
        <f>SUM(I318)</f>
        <v>0</v>
      </c>
      <c r="J319" s="19"/>
      <c r="K319" s="22">
        <f>IF(SUM(C319:I319)=SUM(M319:Q319),SUM(C319:I319),SUM(M319:Q319)-SUM(C319:I319))</f>
        <v>1000</v>
      </c>
      <c r="L319" s="19"/>
      <c r="M319" s="22">
        <f>SUM(M318)</f>
        <v>0</v>
      </c>
      <c r="N319" s="19"/>
      <c r="O319" s="22">
        <f>SUM(O318)</f>
        <v>1000</v>
      </c>
      <c r="P319" s="19"/>
      <c r="Q319" s="22">
        <f>SUM(Q318)</f>
        <v>0</v>
      </c>
      <c r="R319" s="6"/>
    </row>
    <row r="320" spans="1:18" s="3" customFormat="1" ht="13.5" customHeight="1">
      <c r="A320" s="19"/>
      <c r="B320" s="20"/>
      <c r="C320" s="19"/>
      <c r="D320" s="23"/>
      <c r="E320" s="19"/>
      <c r="F320" s="23"/>
      <c r="G320" s="19"/>
      <c r="H320" s="23"/>
      <c r="I320" s="19"/>
      <c r="J320" s="19"/>
      <c r="K320" s="19"/>
      <c r="L320" s="19"/>
      <c r="M320" s="19"/>
      <c r="N320" s="19"/>
      <c r="O320" s="19"/>
      <c r="P320" s="19"/>
      <c r="Q320" s="19"/>
      <c r="R320" s="6"/>
    </row>
    <row r="321" spans="1:18" s="4" customFormat="1" ht="13.5" customHeight="1">
      <c r="A321" s="19" t="s">
        <v>162</v>
      </c>
      <c r="B321" s="20" t="s">
        <v>13</v>
      </c>
      <c r="C321" s="19"/>
      <c r="D321" s="23"/>
      <c r="E321" s="19"/>
      <c r="F321" s="23"/>
      <c r="G321" s="19"/>
      <c r="H321" s="23"/>
      <c r="I321" s="19"/>
      <c r="J321" s="19"/>
      <c r="K321" s="19"/>
      <c r="L321" s="19"/>
      <c r="M321" s="19"/>
      <c r="N321" s="19"/>
      <c r="O321" s="19"/>
      <c r="P321" s="19"/>
      <c r="Q321" s="19"/>
      <c r="R321" s="7"/>
    </row>
    <row r="322" spans="1:18" s="4" customFormat="1" ht="13.5" customHeight="1">
      <c r="A322" s="19" t="s">
        <v>198</v>
      </c>
      <c r="B322" s="20" t="s">
        <v>13</v>
      </c>
      <c r="C322" s="24">
        <v>0</v>
      </c>
      <c r="D322" s="23"/>
      <c r="E322" s="24">
        <v>0</v>
      </c>
      <c r="F322" s="23"/>
      <c r="G322" s="24">
        <v>102744</v>
      </c>
      <c r="H322" s="23"/>
      <c r="I322" s="24">
        <v>3178</v>
      </c>
      <c r="J322" s="19"/>
      <c r="K322" s="19">
        <f>IF(SUM(C322:I322)=SUM(M322:Q322),SUM(C322:I322),SUM(M322:Q322)-SUM(C322:I322))</f>
        <v>105922</v>
      </c>
      <c r="L322" s="19"/>
      <c r="M322" s="24">
        <v>79578</v>
      </c>
      <c r="N322" s="19"/>
      <c r="O322" s="24">
        <v>8471</v>
      </c>
      <c r="P322" s="19"/>
      <c r="Q322" s="24">
        <f>-1+17874</f>
        <v>17873</v>
      </c>
      <c r="R322" s="7"/>
    </row>
    <row r="323" spans="1:18" s="3" customFormat="1" ht="13.5" customHeight="1">
      <c r="A323" s="19" t="s">
        <v>176</v>
      </c>
      <c r="B323" s="20" t="s">
        <v>13</v>
      </c>
      <c r="C323" s="21">
        <f>SUM(C322:C322)</f>
        <v>0</v>
      </c>
      <c r="D323" s="23"/>
      <c r="E323" s="21">
        <f>SUM(E322:E322)</f>
        <v>0</v>
      </c>
      <c r="F323" s="23"/>
      <c r="G323" s="21">
        <f>SUM(G322:G322)</f>
        <v>102744</v>
      </c>
      <c r="H323" s="23"/>
      <c r="I323" s="21">
        <f>SUM(I322:I322)</f>
        <v>3178</v>
      </c>
      <c r="J323" s="19"/>
      <c r="K323" s="22">
        <f>IF(SUM(C323:I323)=SUM(M323:Q323),SUM(C323:I323),SUM(M323:Q323)-SUM(C323:I323))</f>
        <v>105922</v>
      </c>
      <c r="L323" s="19"/>
      <c r="M323" s="21">
        <f>SUM(M322:M322)</f>
        <v>79578</v>
      </c>
      <c r="N323" s="19"/>
      <c r="O323" s="21">
        <f>SUM(O322:O322)</f>
        <v>8471</v>
      </c>
      <c r="P323" s="19"/>
      <c r="Q323" s="21">
        <f>SUM(Q322:Q322)</f>
        <v>17873</v>
      </c>
      <c r="R323" s="6"/>
    </row>
    <row r="324" spans="1:18" s="3" customFormat="1" ht="13.5" customHeight="1">
      <c r="A324" s="19"/>
      <c r="B324" s="20" t="s">
        <v>13</v>
      </c>
      <c r="C324" s="19"/>
      <c r="D324" s="23"/>
      <c r="E324" s="19"/>
      <c r="F324" s="23"/>
      <c r="G324" s="19"/>
      <c r="H324" s="23"/>
      <c r="I324" s="19"/>
      <c r="J324" s="19"/>
      <c r="K324" s="19"/>
      <c r="L324" s="19"/>
      <c r="M324" s="19"/>
      <c r="N324" s="19"/>
      <c r="O324" s="19"/>
      <c r="P324" s="19"/>
      <c r="Q324" s="19"/>
      <c r="R324" s="6"/>
    </row>
    <row r="325" spans="1:18" s="3" customFormat="1" ht="13.5" customHeight="1">
      <c r="A325" s="19" t="s">
        <v>249</v>
      </c>
      <c r="B325" s="20" t="s">
        <v>13</v>
      </c>
      <c r="C325" s="19" t="s">
        <v>13</v>
      </c>
      <c r="D325" s="23"/>
      <c r="E325" s="19" t="s">
        <v>13</v>
      </c>
      <c r="F325" s="23"/>
      <c r="G325" s="19" t="s">
        <v>13</v>
      </c>
      <c r="H325" s="23"/>
      <c r="I325" s="19" t="s">
        <v>13</v>
      </c>
      <c r="J325" s="19"/>
      <c r="K325" s="19"/>
      <c r="L325" s="19"/>
      <c r="M325" s="19" t="s">
        <v>13</v>
      </c>
      <c r="N325" s="19"/>
      <c r="O325" s="19" t="s">
        <v>13</v>
      </c>
      <c r="P325" s="19"/>
      <c r="Q325" s="19" t="s">
        <v>13</v>
      </c>
      <c r="R325" s="6"/>
    </row>
    <row r="326" spans="1:18" s="3" customFormat="1" ht="13.5" customHeight="1">
      <c r="A326" s="19" t="s">
        <v>45</v>
      </c>
      <c r="B326" s="20"/>
      <c r="C326" s="19">
        <v>0</v>
      </c>
      <c r="D326" s="23"/>
      <c r="E326" s="19">
        <v>0</v>
      </c>
      <c r="F326" s="23"/>
      <c r="G326" s="19">
        <v>0</v>
      </c>
      <c r="H326" s="23"/>
      <c r="I326" s="19">
        <v>74955</v>
      </c>
      <c r="J326" s="19"/>
      <c r="K326" s="19">
        <f aca="true" t="shared" si="15" ref="K326:K332">IF(SUM(C326:I326)=SUM(M326:Q326),SUM(C326:I326),SUM(M326:Q326)-SUM(C326:I326))</f>
        <v>74955</v>
      </c>
      <c r="L326" s="19"/>
      <c r="M326" s="19">
        <v>30361</v>
      </c>
      <c r="N326" s="19"/>
      <c r="O326" s="19">
        <v>44594</v>
      </c>
      <c r="P326" s="19"/>
      <c r="Q326" s="19">
        <v>0</v>
      </c>
      <c r="R326" s="6"/>
    </row>
    <row r="327" spans="1:18" s="3" customFormat="1" ht="13.5" customHeight="1">
      <c r="A327" s="19" t="s">
        <v>46</v>
      </c>
      <c r="B327" s="20"/>
      <c r="C327" s="19">
        <v>720858</v>
      </c>
      <c r="D327" s="23"/>
      <c r="E327" s="19">
        <v>0</v>
      </c>
      <c r="F327" s="23"/>
      <c r="G327" s="19">
        <v>0</v>
      </c>
      <c r="H327" s="23"/>
      <c r="I327" s="19">
        <v>0</v>
      </c>
      <c r="J327" s="19"/>
      <c r="K327" s="19">
        <f t="shared" si="15"/>
        <v>720858</v>
      </c>
      <c r="L327" s="19"/>
      <c r="M327" s="19">
        <v>365034</v>
      </c>
      <c r="N327" s="19"/>
      <c r="O327" s="19">
        <v>255749</v>
      </c>
      <c r="P327" s="19"/>
      <c r="Q327" s="19">
        <v>100075</v>
      </c>
      <c r="R327" s="6"/>
    </row>
    <row r="328" spans="1:18" s="3" customFormat="1" ht="13.5" customHeight="1">
      <c r="A328" s="19" t="s">
        <v>147</v>
      </c>
      <c r="B328" s="20"/>
      <c r="C328" s="19">
        <v>2867586</v>
      </c>
      <c r="D328" s="23"/>
      <c r="E328" s="19">
        <v>0</v>
      </c>
      <c r="F328" s="23"/>
      <c r="G328" s="19">
        <v>75194</v>
      </c>
      <c r="H328" s="23"/>
      <c r="I328" s="19">
        <v>0</v>
      </c>
      <c r="J328" s="19"/>
      <c r="K328" s="19">
        <f t="shared" si="15"/>
        <v>2942780</v>
      </c>
      <c r="L328" s="19"/>
      <c r="M328" s="19">
        <v>2088651</v>
      </c>
      <c r="N328" s="19"/>
      <c r="O328" s="19">
        <v>425748</v>
      </c>
      <c r="P328" s="19"/>
      <c r="Q328" s="19">
        <v>428381</v>
      </c>
      <c r="R328" s="6"/>
    </row>
    <row r="329" spans="1:18" s="3" customFormat="1" ht="13.5" customHeight="1">
      <c r="A329" s="19" t="s">
        <v>31</v>
      </c>
      <c r="B329" s="20" t="s">
        <v>13</v>
      </c>
      <c r="C329" s="19">
        <v>0</v>
      </c>
      <c r="D329" s="23"/>
      <c r="E329" s="19">
        <v>0</v>
      </c>
      <c r="F329" s="23"/>
      <c r="G329" s="19">
        <v>57</v>
      </c>
      <c r="H329" s="23"/>
      <c r="I329" s="19">
        <v>0</v>
      </c>
      <c r="J329" s="19"/>
      <c r="K329" s="23">
        <f t="shared" si="15"/>
        <v>57</v>
      </c>
      <c r="L329" s="19"/>
      <c r="M329" s="19">
        <v>0</v>
      </c>
      <c r="N329" s="19"/>
      <c r="O329" s="19">
        <v>57</v>
      </c>
      <c r="P329" s="19"/>
      <c r="Q329" s="19">
        <v>0</v>
      </c>
      <c r="R329" s="6"/>
    </row>
    <row r="330" spans="1:18" s="3" customFormat="1" ht="13.5" customHeight="1">
      <c r="A330" s="19" t="s">
        <v>216</v>
      </c>
      <c r="B330" s="20"/>
      <c r="C330" s="19">
        <v>135705</v>
      </c>
      <c r="D330" s="23"/>
      <c r="E330" s="19">
        <v>0</v>
      </c>
      <c r="F330" s="23"/>
      <c r="G330" s="19">
        <v>0</v>
      </c>
      <c r="H330" s="23"/>
      <c r="I330" s="19">
        <v>0</v>
      </c>
      <c r="J330" s="19"/>
      <c r="K330" s="19">
        <f t="shared" si="15"/>
        <v>135705</v>
      </c>
      <c r="L330" s="19"/>
      <c r="M330" s="19">
        <v>113837</v>
      </c>
      <c r="N330" s="19"/>
      <c r="O330" s="19">
        <v>137</v>
      </c>
      <c r="P330" s="19"/>
      <c r="Q330" s="19">
        <v>21731</v>
      </c>
      <c r="R330" s="6"/>
    </row>
    <row r="331" spans="1:18" s="3" customFormat="1" ht="13.5" customHeight="1">
      <c r="A331" s="19" t="s">
        <v>250</v>
      </c>
      <c r="B331" s="20"/>
      <c r="C331" s="21">
        <v>0</v>
      </c>
      <c r="D331" s="23"/>
      <c r="E331" s="21">
        <v>0</v>
      </c>
      <c r="F331" s="23"/>
      <c r="G331" s="21">
        <v>50496</v>
      </c>
      <c r="H331" s="23"/>
      <c r="I331" s="21">
        <v>0</v>
      </c>
      <c r="J331" s="19"/>
      <c r="K331" s="23">
        <f t="shared" si="15"/>
        <v>50496</v>
      </c>
      <c r="L331" s="19"/>
      <c r="M331" s="24">
        <v>49765</v>
      </c>
      <c r="N331" s="19"/>
      <c r="O331" s="24">
        <f>1+730</f>
        <v>731</v>
      </c>
      <c r="P331" s="19"/>
      <c r="Q331" s="24">
        <v>0</v>
      </c>
      <c r="R331" s="6"/>
    </row>
    <row r="332" spans="1:18" s="3" customFormat="1" ht="13.5" customHeight="1">
      <c r="A332" s="19" t="s">
        <v>251</v>
      </c>
      <c r="B332" s="20" t="s">
        <v>13</v>
      </c>
      <c r="C332" s="22">
        <f>SUM(C326:C331)</f>
        <v>3724149</v>
      </c>
      <c r="D332" s="23"/>
      <c r="E332" s="22">
        <f>SUM(E326:E331)</f>
        <v>0</v>
      </c>
      <c r="F332" s="23"/>
      <c r="G332" s="22">
        <f>SUM(G326:G331)</f>
        <v>125747</v>
      </c>
      <c r="H332" s="23"/>
      <c r="I332" s="22">
        <f>SUM(I326:I331)</f>
        <v>74955</v>
      </c>
      <c r="J332" s="19"/>
      <c r="K332" s="34">
        <f t="shared" si="15"/>
        <v>3924851</v>
      </c>
      <c r="L332" s="19"/>
      <c r="M332" s="22">
        <f>SUM(M326:M331)</f>
        <v>2647648</v>
      </c>
      <c r="N332" s="19"/>
      <c r="O332" s="22">
        <f>SUM(O326:O331)</f>
        <v>727016</v>
      </c>
      <c r="P332" s="19"/>
      <c r="Q332" s="22">
        <f>SUM(Q326:Q331)</f>
        <v>550187</v>
      </c>
      <c r="R332" s="6"/>
    </row>
    <row r="333" spans="1:18" s="3" customFormat="1" ht="13.5" customHeight="1">
      <c r="A333" s="19"/>
      <c r="B333" s="20"/>
      <c r="C333" s="23"/>
      <c r="D333" s="23"/>
      <c r="E333" s="23"/>
      <c r="F333" s="23"/>
      <c r="G333" s="23"/>
      <c r="H333" s="23"/>
      <c r="I333" s="23"/>
      <c r="J333" s="19"/>
      <c r="K333" s="19"/>
      <c r="L333" s="19"/>
      <c r="M333" s="23"/>
      <c r="N333" s="19"/>
      <c r="O333" s="23"/>
      <c r="P333" s="19"/>
      <c r="Q333" s="23"/>
      <c r="R333" s="6"/>
    </row>
    <row r="334" spans="1:18" s="3" customFormat="1" ht="13.5" customHeight="1">
      <c r="A334" s="19" t="s">
        <v>280</v>
      </c>
      <c r="B334" s="20"/>
      <c r="C334" s="21">
        <v>0</v>
      </c>
      <c r="D334" s="23"/>
      <c r="E334" s="21">
        <v>0</v>
      </c>
      <c r="F334" s="23"/>
      <c r="G334" s="21">
        <v>10000</v>
      </c>
      <c r="H334" s="23"/>
      <c r="I334" s="21">
        <v>22821</v>
      </c>
      <c r="J334" s="19"/>
      <c r="K334" s="21">
        <f>IF(SUM(C334:I334)=SUM(M334:Q334),SUM(C334:I334),SUM(M334:Q334)-SUM(C334:I334))</f>
        <v>32821</v>
      </c>
      <c r="L334" s="19"/>
      <c r="M334" s="24">
        <v>0</v>
      </c>
      <c r="N334" s="19"/>
      <c r="O334" s="24">
        <v>32821</v>
      </c>
      <c r="P334" s="19"/>
      <c r="Q334" s="24">
        <v>0</v>
      </c>
      <c r="R334" s="6"/>
    </row>
    <row r="335" spans="1:18" s="3" customFormat="1" ht="13.5" customHeight="1">
      <c r="A335" s="19"/>
      <c r="B335" s="20"/>
      <c r="C335" s="23"/>
      <c r="D335" s="23"/>
      <c r="E335" s="23"/>
      <c r="F335" s="23"/>
      <c r="G335" s="23"/>
      <c r="H335" s="23"/>
      <c r="I335" s="23"/>
      <c r="J335" s="19"/>
      <c r="K335" s="19"/>
      <c r="L335" s="19"/>
      <c r="M335" s="23"/>
      <c r="N335" s="19"/>
      <c r="O335" s="23"/>
      <c r="P335" s="19"/>
      <c r="Q335" s="23"/>
      <c r="R335" s="6"/>
    </row>
    <row r="336" spans="1:18" s="3" customFormat="1" ht="13.5" customHeight="1">
      <c r="A336" s="19" t="s">
        <v>150</v>
      </c>
      <c r="B336" s="20"/>
      <c r="C336" s="21">
        <v>17577</v>
      </c>
      <c r="D336" s="23"/>
      <c r="E336" s="21">
        <v>0</v>
      </c>
      <c r="F336" s="23"/>
      <c r="G336" s="21">
        <v>2498</v>
      </c>
      <c r="H336" s="23"/>
      <c r="I336" s="21">
        <v>7913</v>
      </c>
      <c r="J336" s="19"/>
      <c r="K336" s="21">
        <f>IF(SUM(C336:I336)=SUM(M336:Q336),SUM(C336:I336),SUM(M336:Q336)-SUM(C336:I336))</f>
        <v>27988</v>
      </c>
      <c r="L336" s="19"/>
      <c r="M336" s="24">
        <v>16305</v>
      </c>
      <c r="N336" s="19"/>
      <c r="O336" s="24">
        <f>1+11682</f>
        <v>11683</v>
      </c>
      <c r="P336" s="19"/>
      <c r="Q336" s="24">
        <v>0</v>
      </c>
      <c r="R336" s="6"/>
    </row>
    <row r="337" spans="1:18" s="3" customFormat="1" ht="13.5" customHeight="1">
      <c r="A337" s="19"/>
      <c r="B337" s="20"/>
      <c r="C337" s="23"/>
      <c r="D337" s="23"/>
      <c r="E337" s="23"/>
      <c r="F337" s="23"/>
      <c r="G337" s="23"/>
      <c r="H337" s="23"/>
      <c r="I337" s="23"/>
      <c r="J337" s="19"/>
      <c r="K337" s="23"/>
      <c r="L337" s="19"/>
      <c r="M337" s="23"/>
      <c r="N337" s="19"/>
      <c r="O337" s="23"/>
      <c r="P337" s="19"/>
      <c r="Q337" s="23"/>
      <c r="R337" s="6"/>
    </row>
    <row r="338" spans="1:18" s="3" customFormat="1" ht="13.5" customHeight="1">
      <c r="A338" s="19" t="s">
        <v>239</v>
      </c>
      <c r="B338" s="20"/>
      <c r="C338" s="21">
        <v>988</v>
      </c>
      <c r="D338" s="23"/>
      <c r="E338" s="21">
        <v>0</v>
      </c>
      <c r="F338" s="23"/>
      <c r="G338" s="21">
        <v>0</v>
      </c>
      <c r="H338" s="23"/>
      <c r="I338" s="21">
        <v>0</v>
      </c>
      <c r="J338" s="19"/>
      <c r="K338" s="24">
        <f>IF(SUM(C338:I338)=SUM(M338:Q338),SUM(C338:I338),SUM(M338:Q338)-SUM(C338:I338))</f>
        <v>988</v>
      </c>
      <c r="L338" s="19"/>
      <c r="M338" s="24">
        <v>0</v>
      </c>
      <c r="N338" s="19"/>
      <c r="O338" s="24">
        <v>541</v>
      </c>
      <c r="P338" s="19"/>
      <c r="Q338" s="24">
        <v>447</v>
      </c>
      <c r="R338" s="6"/>
    </row>
    <row r="339" spans="1:18" s="3" customFormat="1" ht="13.5" customHeight="1">
      <c r="A339" s="19"/>
      <c r="B339" s="20" t="s">
        <v>13</v>
      </c>
      <c r="C339" s="19"/>
      <c r="D339" s="23"/>
      <c r="E339" s="19"/>
      <c r="F339" s="23"/>
      <c r="G339" s="19"/>
      <c r="H339" s="23"/>
      <c r="I339" s="19"/>
      <c r="J339" s="19"/>
      <c r="K339" s="19"/>
      <c r="L339" s="19"/>
      <c r="M339" s="19"/>
      <c r="N339" s="19"/>
      <c r="O339" s="19"/>
      <c r="P339" s="19"/>
      <c r="Q339" s="19"/>
      <c r="R339" s="6"/>
    </row>
    <row r="340" spans="1:18" s="3" customFormat="1" ht="13.5" customHeight="1">
      <c r="A340" s="19" t="s">
        <v>163</v>
      </c>
      <c r="B340" s="20"/>
      <c r="C340" s="21">
        <v>0</v>
      </c>
      <c r="D340" s="23"/>
      <c r="E340" s="21">
        <v>0</v>
      </c>
      <c r="F340" s="23"/>
      <c r="G340" s="21">
        <v>0</v>
      </c>
      <c r="H340" s="23"/>
      <c r="I340" s="21">
        <v>1479596</v>
      </c>
      <c r="J340" s="19"/>
      <c r="K340" s="21">
        <f>IF(SUM(C340:I340)=SUM(M340:Q340),SUM(C340:I340),SUM(M340:Q340)-SUM(C340:I340))</f>
        <v>1479596</v>
      </c>
      <c r="L340" s="19"/>
      <c r="M340" s="24">
        <v>1211931</v>
      </c>
      <c r="N340" s="19"/>
      <c r="O340" s="24">
        <f>-1+267666</f>
        <v>267665</v>
      </c>
      <c r="P340" s="19"/>
      <c r="Q340" s="24">
        <v>0</v>
      </c>
      <c r="R340" s="6"/>
    </row>
    <row r="341" spans="1:18" s="3" customFormat="1" ht="13.5" customHeight="1">
      <c r="A341" s="19"/>
      <c r="B341" s="20"/>
      <c r="C341" s="23"/>
      <c r="D341" s="23"/>
      <c r="E341" s="23"/>
      <c r="F341" s="23"/>
      <c r="G341" s="23"/>
      <c r="H341" s="23"/>
      <c r="I341" s="23"/>
      <c r="J341" s="19"/>
      <c r="K341" s="19"/>
      <c r="L341" s="19"/>
      <c r="M341" s="23"/>
      <c r="N341" s="19"/>
      <c r="O341" s="23"/>
      <c r="P341" s="19"/>
      <c r="Q341" s="23"/>
      <c r="R341" s="6"/>
    </row>
    <row r="342" spans="1:18" s="3" customFormat="1" ht="13.5" customHeight="1">
      <c r="A342" s="19" t="s">
        <v>164</v>
      </c>
      <c r="B342" s="20"/>
      <c r="C342" s="21">
        <v>0</v>
      </c>
      <c r="D342" s="23"/>
      <c r="E342" s="21">
        <v>0</v>
      </c>
      <c r="F342" s="23"/>
      <c r="G342" s="21">
        <v>18579</v>
      </c>
      <c r="H342" s="23"/>
      <c r="I342" s="21">
        <v>0</v>
      </c>
      <c r="J342" s="19"/>
      <c r="K342" s="21">
        <f>IF(SUM(C342:I342)=SUM(M342:Q342),SUM(C342:I342),SUM(M342:Q342)-SUM(C342:I342))</f>
        <v>18579</v>
      </c>
      <c r="L342" s="19"/>
      <c r="M342" s="24">
        <v>16875</v>
      </c>
      <c r="N342" s="19"/>
      <c r="O342" s="24">
        <v>1704</v>
      </c>
      <c r="P342" s="19"/>
      <c r="Q342" s="24">
        <v>0</v>
      </c>
      <c r="R342" s="6"/>
    </row>
    <row r="343" spans="1:18" s="3" customFormat="1" ht="13.5" customHeight="1">
      <c r="A343" s="19"/>
      <c r="B343" s="20"/>
      <c r="C343" s="23"/>
      <c r="D343" s="23"/>
      <c r="E343" s="23"/>
      <c r="F343" s="23"/>
      <c r="G343" s="23"/>
      <c r="H343" s="23"/>
      <c r="I343" s="23"/>
      <c r="J343" s="19"/>
      <c r="K343" s="19"/>
      <c r="L343" s="19"/>
      <c r="M343" s="23"/>
      <c r="N343" s="19"/>
      <c r="O343" s="23"/>
      <c r="P343" s="19"/>
      <c r="Q343" s="23"/>
      <c r="R343" s="6"/>
    </row>
    <row r="344" spans="1:18" s="3" customFormat="1" ht="13.5" customHeight="1">
      <c r="A344" s="19" t="s">
        <v>154</v>
      </c>
      <c r="B344" s="20"/>
      <c r="C344" s="23"/>
      <c r="D344" s="23"/>
      <c r="E344" s="23"/>
      <c r="F344" s="23"/>
      <c r="G344" s="23"/>
      <c r="H344" s="23"/>
      <c r="I344" s="23"/>
      <c r="J344" s="19"/>
      <c r="K344" s="19"/>
      <c r="L344" s="19"/>
      <c r="M344" s="23"/>
      <c r="N344" s="19"/>
      <c r="O344" s="23"/>
      <c r="P344" s="19"/>
      <c r="Q344" s="23"/>
      <c r="R344" s="6"/>
    </row>
    <row r="345" spans="1:18" s="3" customFormat="1" ht="13.5" customHeight="1">
      <c r="A345" s="19" t="s">
        <v>255</v>
      </c>
      <c r="B345" s="20"/>
      <c r="C345" s="19">
        <v>0</v>
      </c>
      <c r="D345" s="23"/>
      <c r="E345" s="19">
        <v>0</v>
      </c>
      <c r="F345" s="23"/>
      <c r="G345" s="19">
        <v>14436</v>
      </c>
      <c r="H345" s="23"/>
      <c r="I345" s="19">
        <v>0</v>
      </c>
      <c r="J345" s="19"/>
      <c r="K345" s="19">
        <f>IF(SUM(C345:I345)=SUM(M345:Q345),SUM(C345:I345),SUM(M345:Q345)-SUM(C345:I345))</f>
        <v>14436</v>
      </c>
      <c r="L345" s="19"/>
      <c r="M345" s="19">
        <v>996</v>
      </c>
      <c r="N345" s="19"/>
      <c r="O345" s="19">
        <v>13440</v>
      </c>
      <c r="P345" s="19"/>
      <c r="Q345" s="19">
        <v>0</v>
      </c>
      <c r="R345" s="6"/>
    </row>
    <row r="346" spans="1:18" s="3" customFormat="1" ht="13.5" customHeight="1">
      <c r="A346" s="19" t="s">
        <v>128</v>
      </c>
      <c r="B346" s="20"/>
      <c r="C346" s="21">
        <v>0</v>
      </c>
      <c r="D346" s="23"/>
      <c r="E346" s="21">
        <v>0</v>
      </c>
      <c r="F346" s="23"/>
      <c r="G346" s="21">
        <v>-1</v>
      </c>
      <c r="H346" s="23"/>
      <c r="I346" s="21">
        <v>0</v>
      </c>
      <c r="J346" s="19"/>
      <c r="K346" s="21">
        <f>IF(SUM(C346:I346)=SUM(M346:Q346),SUM(C346:I346),SUM(M346:Q346)-SUM(C346:I346))</f>
        <v>-1</v>
      </c>
      <c r="L346" s="19"/>
      <c r="M346" s="24">
        <v>0</v>
      </c>
      <c r="N346" s="19"/>
      <c r="O346" s="24">
        <v>0</v>
      </c>
      <c r="P346" s="19"/>
      <c r="Q346" s="24">
        <v>-1</v>
      </c>
      <c r="R346" s="6"/>
    </row>
    <row r="347" spans="1:18" s="3" customFormat="1" ht="13.5" customHeight="1">
      <c r="A347" s="19" t="s">
        <v>160</v>
      </c>
      <c r="B347" s="20"/>
      <c r="C347" s="22">
        <f>SUM(C345:C346)</f>
        <v>0</v>
      </c>
      <c r="D347" s="23"/>
      <c r="E347" s="22">
        <f>SUM(E345:E346)</f>
        <v>0</v>
      </c>
      <c r="F347" s="23"/>
      <c r="G347" s="22">
        <f>SUM(G345:G346)</f>
        <v>14435</v>
      </c>
      <c r="H347" s="23"/>
      <c r="I347" s="22">
        <f>SUM(I345:I346)</f>
        <v>0</v>
      </c>
      <c r="J347" s="19"/>
      <c r="K347" s="22">
        <f>IF(SUM(C347:I347)=SUM(M347:Q347),SUM(C347:I347),SUM(M347:Q347)-SUM(C347:I347))</f>
        <v>14435</v>
      </c>
      <c r="L347" s="19"/>
      <c r="M347" s="22">
        <f>SUM(M345:M346)</f>
        <v>996</v>
      </c>
      <c r="N347" s="19"/>
      <c r="O347" s="22">
        <f>SUM(O345:O346)</f>
        <v>13440</v>
      </c>
      <c r="P347" s="19"/>
      <c r="Q347" s="22">
        <f>SUM(Q345:Q346)</f>
        <v>-1</v>
      </c>
      <c r="R347" s="6"/>
    </row>
    <row r="348" spans="1:18" s="3" customFormat="1" ht="13.5" customHeight="1">
      <c r="A348" s="19"/>
      <c r="B348" s="20" t="s">
        <v>13</v>
      </c>
      <c r="C348" s="19"/>
      <c r="D348" s="23"/>
      <c r="E348" s="19"/>
      <c r="F348" s="23"/>
      <c r="G348" s="19"/>
      <c r="H348" s="23"/>
      <c r="I348" s="19"/>
      <c r="J348" s="19"/>
      <c r="K348" s="19"/>
      <c r="L348" s="19"/>
      <c r="M348" s="19"/>
      <c r="N348" s="19"/>
      <c r="O348" s="19"/>
      <c r="P348" s="19"/>
      <c r="Q348" s="19"/>
      <c r="R348" s="6"/>
    </row>
    <row r="349" spans="1:18" s="3" customFormat="1" ht="13.5" customHeight="1">
      <c r="A349" s="19" t="s">
        <v>15</v>
      </c>
      <c r="B349" s="20" t="s">
        <v>13</v>
      </c>
      <c r="C349" s="19"/>
      <c r="D349" s="23"/>
      <c r="E349" s="19"/>
      <c r="F349" s="23"/>
      <c r="G349" s="19"/>
      <c r="H349" s="23"/>
      <c r="I349" s="19"/>
      <c r="J349" s="19"/>
      <c r="K349" s="19"/>
      <c r="L349" s="19"/>
      <c r="M349" s="19"/>
      <c r="N349" s="19"/>
      <c r="O349" s="19"/>
      <c r="P349" s="19"/>
      <c r="Q349" s="19"/>
      <c r="R349" s="6"/>
    </row>
    <row r="350" spans="1:18" s="3" customFormat="1" ht="13.5" customHeight="1">
      <c r="A350" s="19" t="s">
        <v>195</v>
      </c>
      <c r="B350" s="20"/>
      <c r="C350" s="19">
        <v>0</v>
      </c>
      <c r="D350" s="23"/>
      <c r="E350" s="19">
        <v>0</v>
      </c>
      <c r="F350" s="23"/>
      <c r="G350" s="19">
        <v>0</v>
      </c>
      <c r="H350" s="23"/>
      <c r="I350" s="19">
        <v>14314</v>
      </c>
      <c r="J350" s="19"/>
      <c r="K350" s="23">
        <f>IF(SUM(C350:I350)=SUM(M350:Q350),SUM(C350:I350),SUM(M350:Q350)-SUM(C350:I350))</f>
        <v>14314</v>
      </c>
      <c r="L350" s="19"/>
      <c r="M350" s="19">
        <v>18384</v>
      </c>
      <c r="N350" s="19"/>
      <c r="O350" s="19">
        <f>1+-4071</f>
        <v>-4070</v>
      </c>
      <c r="P350" s="19"/>
      <c r="Q350" s="19">
        <v>0</v>
      </c>
      <c r="R350" s="6"/>
    </row>
    <row r="351" spans="1:18" s="3" customFormat="1" ht="13.5" customHeight="1">
      <c r="A351" s="19" t="s">
        <v>240</v>
      </c>
      <c r="B351" s="20" t="s">
        <v>13</v>
      </c>
      <c r="C351" s="19">
        <v>0</v>
      </c>
      <c r="D351" s="23"/>
      <c r="E351" s="19">
        <v>0</v>
      </c>
      <c r="F351" s="23"/>
      <c r="G351" s="19">
        <v>67536</v>
      </c>
      <c r="H351" s="23"/>
      <c r="I351" s="19">
        <v>81987</v>
      </c>
      <c r="J351" s="19"/>
      <c r="K351" s="23">
        <f>IF(SUM(C351:I351)=SUM(M351:Q351),SUM(C351:I351),SUM(M351:Q351)-SUM(C351:I351))</f>
        <v>149523</v>
      </c>
      <c r="L351" s="19"/>
      <c r="M351" s="19">
        <v>35951</v>
      </c>
      <c r="N351" s="19"/>
      <c r="O351" s="19">
        <v>113572</v>
      </c>
      <c r="P351" s="19"/>
      <c r="Q351" s="19">
        <v>0</v>
      </c>
      <c r="R351" s="6"/>
    </row>
    <row r="352" spans="1:18" s="3" customFormat="1" ht="13.5" customHeight="1">
      <c r="A352" s="19" t="s">
        <v>218</v>
      </c>
      <c r="B352" s="20"/>
      <c r="C352" s="21">
        <v>0</v>
      </c>
      <c r="D352" s="23"/>
      <c r="E352" s="21">
        <v>0</v>
      </c>
      <c r="F352" s="23"/>
      <c r="G352" s="21">
        <v>18428</v>
      </c>
      <c r="H352" s="23"/>
      <c r="I352" s="21">
        <v>386566</v>
      </c>
      <c r="J352" s="19"/>
      <c r="K352" s="24">
        <f>IF(SUM(C352:I352)=SUM(M352:Q352),SUM(C352:I352),SUM(M352:Q352)-SUM(C352:I352))</f>
        <v>404994</v>
      </c>
      <c r="L352" s="19"/>
      <c r="M352" s="24">
        <v>133378</v>
      </c>
      <c r="N352" s="19"/>
      <c r="O352" s="24">
        <f>-1+271617</f>
        <v>271616</v>
      </c>
      <c r="P352" s="19"/>
      <c r="Q352" s="24">
        <v>0</v>
      </c>
      <c r="R352" s="6"/>
    </row>
    <row r="353" spans="1:18" s="3" customFormat="1" ht="13.5" customHeight="1">
      <c r="A353" s="19" t="s">
        <v>121</v>
      </c>
      <c r="B353" s="20"/>
      <c r="C353" s="24">
        <f>SUM(C350:C352)</f>
        <v>0</v>
      </c>
      <c r="D353" s="23"/>
      <c r="E353" s="24">
        <f>SUM(E350:E352)</f>
        <v>0</v>
      </c>
      <c r="F353" s="23"/>
      <c r="G353" s="24">
        <f>SUM(G350:G352)</f>
        <v>85964</v>
      </c>
      <c r="H353" s="23"/>
      <c r="I353" s="24">
        <f>SUM(I350:I352)</f>
        <v>482867</v>
      </c>
      <c r="J353" s="19"/>
      <c r="K353" s="24">
        <f>IF(SUM(C353:I353)=SUM(M353:Q353),SUM(C353:I353),SUM(M353:Q353)-SUM(C353:I353))</f>
        <v>568831</v>
      </c>
      <c r="L353" s="19"/>
      <c r="M353" s="24">
        <f>SUM(M350:M352)</f>
        <v>187713</v>
      </c>
      <c r="N353" s="19"/>
      <c r="O353" s="24">
        <f>SUM(O350:O352)</f>
        <v>381118</v>
      </c>
      <c r="P353" s="19"/>
      <c r="Q353" s="24">
        <f>SUM(Q350:Q352)</f>
        <v>0</v>
      </c>
      <c r="R353" s="6"/>
    </row>
    <row r="354" spans="1:18" s="3" customFormat="1" ht="13.5" customHeight="1">
      <c r="A354" s="19"/>
      <c r="B354" s="20" t="s">
        <v>13</v>
      </c>
      <c r="C354" s="19"/>
      <c r="D354" s="23"/>
      <c r="E354" s="19"/>
      <c r="F354" s="23"/>
      <c r="G354" s="19"/>
      <c r="H354" s="23"/>
      <c r="I354" s="19"/>
      <c r="J354" s="19"/>
      <c r="K354" s="19"/>
      <c r="L354" s="19"/>
      <c r="M354" s="19"/>
      <c r="N354" s="19"/>
      <c r="O354" s="19"/>
      <c r="P354" s="19"/>
      <c r="Q354" s="19"/>
      <c r="R354" s="6"/>
    </row>
    <row r="355" spans="1:18" s="3" customFormat="1" ht="13.5" customHeight="1">
      <c r="A355" s="19" t="s">
        <v>16</v>
      </c>
      <c r="B355" s="20" t="s">
        <v>13</v>
      </c>
      <c r="C355" s="19" t="s">
        <v>13</v>
      </c>
      <c r="D355" s="23"/>
      <c r="E355" s="19" t="s">
        <v>13</v>
      </c>
      <c r="F355" s="23"/>
      <c r="G355" s="19" t="s">
        <v>13</v>
      </c>
      <c r="H355" s="23"/>
      <c r="I355" s="19" t="s">
        <v>13</v>
      </c>
      <c r="J355" s="19"/>
      <c r="K355" s="19"/>
      <c r="L355" s="19"/>
      <c r="M355" s="19" t="s">
        <v>13</v>
      </c>
      <c r="N355" s="19"/>
      <c r="O355" s="19" t="s">
        <v>13</v>
      </c>
      <c r="P355" s="19"/>
      <c r="Q355" s="19" t="s">
        <v>13</v>
      </c>
      <c r="R355" s="6"/>
    </row>
    <row r="356" spans="1:18" s="3" customFormat="1" ht="13.5" customHeight="1">
      <c r="A356" s="19" t="s">
        <v>56</v>
      </c>
      <c r="B356" s="20"/>
      <c r="C356" s="19">
        <v>0</v>
      </c>
      <c r="D356" s="23"/>
      <c r="E356" s="19">
        <v>0</v>
      </c>
      <c r="F356" s="23"/>
      <c r="G356" s="19">
        <v>0</v>
      </c>
      <c r="H356" s="23"/>
      <c r="I356" s="19">
        <v>846313</v>
      </c>
      <c r="J356" s="19"/>
      <c r="K356" s="19">
        <f aca="true" t="shared" si="16" ref="K356:K361">IF(SUM(C356:I356)=SUM(M356:Q356),SUM(C356:I356),SUM(M356:Q356)-SUM(C356:I356))</f>
        <v>846313</v>
      </c>
      <c r="L356" s="19"/>
      <c r="M356" s="19">
        <v>292393</v>
      </c>
      <c r="N356" s="19"/>
      <c r="O356" s="19">
        <v>553920</v>
      </c>
      <c r="P356" s="19"/>
      <c r="Q356" s="19">
        <v>0</v>
      </c>
      <c r="R356" s="6"/>
    </row>
    <row r="357" spans="1:18" s="3" customFormat="1" ht="13.5" customHeight="1">
      <c r="A357" s="19" t="s">
        <v>57</v>
      </c>
      <c r="B357" s="20"/>
      <c r="C357" s="19">
        <v>0</v>
      </c>
      <c r="D357" s="23"/>
      <c r="E357" s="19">
        <v>188547</v>
      </c>
      <c r="F357" s="23"/>
      <c r="G357" s="19">
        <v>0</v>
      </c>
      <c r="H357" s="23"/>
      <c r="I357" s="19">
        <v>0</v>
      </c>
      <c r="J357" s="19"/>
      <c r="K357" s="19">
        <f t="shared" si="16"/>
        <v>188547</v>
      </c>
      <c r="L357" s="19"/>
      <c r="M357" s="19">
        <v>188547</v>
      </c>
      <c r="N357" s="19"/>
      <c r="O357" s="19">
        <v>0</v>
      </c>
      <c r="P357" s="19"/>
      <c r="Q357" s="19">
        <v>0</v>
      </c>
      <c r="R357" s="6"/>
    </row>
    <row r="358" spans="1:18" s="3" customFormat="1" ht="13.5" customHeight="1">
      <c r="A358" s="19" t="s">
        <v>31</v>
      </c>
      <c r="B358" s="20"/>
      <c r="C358" s="19">
        <v>0</v>
      </c>
      <c r="D358" s="23"/>
      <c r="E358" s="19">
        <v>0</v>
      </c>
      <c r="F358" s="23"/>
      <c r="G358" s="19">
        <v>5745</v>
      </c>
      <c r="H358" s="23"/>
      <c r="I358" s="19">
        <v>0</v>
      </c>
      <c r="J358" s="19"/>
      <c r="K358" s="19">
        <f t="shared" si="16"/>
        <v>5745</v>
      </c>
      <c r="L358" s="19"/>
      <c r="M358" s="19">
        <v>0</v>
      </c>
      <c r="N358" s="19"/>
      <c r="O358" s="19">
        <v>5745</v>
      </c>
      <c r="P358" s="19"/>
      <c r="Q358" s="19">
        <v>0</v>
      </c>
      <c r="R358" s="6"/>
    </row>
    <row r="359" spans="1:18" s="3" customFormat="1" ht="13.5" customHeight="1">
      <c r="A359" s="19" t="s">
        <v>172</v>
      </c>
      <c r="B359" s="20"/>
      <c r="C359" s="19">
        <v>0</v>
      </c>
      <c r="D359" s="23"/>
      <c r="E359" s="19">
        <v>0</v>
      </c>
      <c r="F359" s="23"/>
      <c r="G359" s="19">
        <v>0</v>
      </c>
      <c r="H359" s="23"/>
      <c r="I359" s="19">
        <v>26672</v>
      </c>
      <c r="J359" s="19"/>
      <c r="K359" s="19">
        <f t="shared" si="16"/>
        <v>26672</v>
      </c>
      <c r="L359" s="19"/>
      <c r="M359" s="19">
        <v>0</v>
      </c>
      <c r="N359" s="19"/>
      <c r="O359" s="19">
        <v>26672</v>
      </c>
      <c r="P359" s="19"/>
      <c r="Q359" s="19">
        <v>0</v>
      </c>
      <c r="R359" s="6"/>
    </row>
    <row r="360" spans="1:18" s="3" customFormat="1" ht="13.5" customHeight="1">
      <c r="A360" s="19" t="s">
        <v>58</v>
      </c>
      <c r="B360" s="20" t="s">
        <v>13</v>
      </c>
      <c r="C360" s="21">
        <v>0</v>
      </c>
      <c r="D360" s="23"/>
      <c r="E360" s="21">
        <v>0</v>
      </c>
      <c r="F360" s="23"/>
      <c r="G360" s="21">
        <v>0</v>
      </c>
      <c r="H360" s="23"/>
      <c r="I360" s="21">
        <v>678333</v>
      </c>
      <c r="J360" s="19"/>
      <c r="K360" s="21">
        <f t="shared" si="16"/>
        <v>678333</v>
      </c>
      <c r="L360" s="19"/>
      <c r="M360" s="24">
        <v>324231</v>
      </c>
      <c r="N360" s="19"/>
      <c r="O360" s="24">
        <v>354102</v>
      </c>
      <c r="P360" s="19"/>
      <c r="Q360" s="24">
        <v>0</v>
      </c>
      <c r="R360" s="6"/>
    </row>
    <row r="361" spans="1:18" s="3" customFormat="1" ht="13.5" customHeight="1">
      <c r="A361" s="19" t="s">
        <v>129</v>
      </c>
      <c r="B361" s="20" t="s">
        <v>13</v>
      </c>
      <c r="C361" s="21">
        <f>SUM(C356:C360)</f>
        <v>0</v>
      </c>
      <c r="D361" s="23"/>
      <c r="E361" s="21">
        <f>SUM(E356:E360)</f>
        <v>188547</v>
      </c>
      <c r="F361" s="23"/>
      <c r="G361" s="21">
        <f>SUM(G356:G360)</f>
        <v>5745</v>
      </c>
      <c r="H361" s="23"/>
      <c r="I361" s="21">
        <f>SUM(I356:I360)</f>
        <v>1551318</v>
      </c>
      <c r="J361" s="19"/>
      <c r="K361" s="22">
        <f t="shared" si="16"/>
        <v>1745610</v>
      </c>
      <c r="L361" s="19"/>
      <c r="M361" s="21">
        <f>SUM(M356:M360)</f>
        <v>805171</v>
      </c>
      <c r="N361" s="19"/>
      <c r="O361" s="21">
        <f>SUM(O356:O360)</f>
        <v>940439</v>
      </c>
      <c r="P361" s="19"/>
      <c r="Q361" s="21">
        <f>SUM(Q356:Q360)</f>
        <v>0</v>
      </c>
      <c r="R361" s="6"/>
    </row>
    <row r="362" spans="1:18" s="3" customFormat="1" ht="13.5" customHeight="1">
      <c r="A362" s="19"/>
      <c r="B362" s="20"/>
      <c r="C362" s="23"/>
      <c r="D362" s="23"/>
      <c r="E362" s="23"/>
      <c r="F362" s="23"/>
      <c r="G362" s="23"/>
      <c r="H362" s="23"/>
      <c r="I362" s="23"/>
      <c r="J362" s="19"/>
      <c r="K362" s="19"/>
      <c r="L362" s="19"/>
      <c r="M362" s="23"/>
      <c r="N362" s="19"/>
      <c r="O362" s="23"/>
      <c r="P362" s="19"/>
      <c r="Q362" s="23"/>
      <c r="R362" s="6"/>
    </row>
    <row r="363" spans="1:18" s="3" customFormat="1" ht="13.5" customHeight="1">
      <c r="A363" s="19" t="s">
        <v>232</v>
      </c>
      <c r="B363" s="20" t="s">
        <v>13</v>
      </c>
      <c r="C363" s="19" t="s">
        <v>13</v>
      </c>
      <c r="D363" s="23"/>
      <c r="E363" s="19" t="s">
        <v>13</v>
      </c>
      <c r="F363" s="23"/>
      <c r="G363" s="19" t="s">
        <v>13</v>
      </c>
      <c r="H363" s="23"/>
      <c r="I363" s="19" t="s">
        <v>13</v>
      </c>
      <c r="J363" s="19"/>
      <c r="K363" s="19"/>
      <c r="L363" s="19"/>
      <c r="M363" s="19" t="s">
        <v>13</v>
      </c>
      <c r="N363" s="19"/>
      <c r="O363" s="19" t="s">
        <v>13</v>
      </c>
      <c r="P363" s="19"/>
      <c r="Q363" s="19" t="s">
        <v>13</v>
      </c>
      <c r="R363" s="6"/>
    </row>
    <row r="364" spans="1:18" s="3" customFormat="1" ht="13.5" customHeight="1">
      <c r="A364" s="19" t="s">
        <v>256</v>
      </c>
      <c r="B364" s="20"/>
      <c r="C364" s="19">
        <v>0</v>
      </c>
      <c r="D364" s="23"/>
      <c r="E364" s="19">
        <v>0</v>
      </c>
      <c r="F364" s="23"/>
      <c r="G364" s="19">
        <v>2986</v>
      </c>
      <c r="H364" s="23"/>
      <c r="I364" s="19">
        <v>0</v>
      </c>
      <c r="J364" s="19"/>
      <c r="K364" s="19">
        <f aca="true" t="shared" si="17" ref="K364:K369">IF(SUM(C364:I364)=SUM(M364:Q364),SUM(C364:I364),SUM(M364:Q364)-SUM(C364:I364))</f>
        <v>2986</v>
      </c>
      <c r="L364" s="19"/>
      <c r="M364" s="19">
        <v>0</v>
      </c>
      <c r="N364" s="19"/>
      <c r="O364" s="19">
        <v>2986</v>
      </c>
      <c r="P364" s="19"/>
      <c r="Q364" s="19">
        <v>0</v>
      </c>
      <c r="R364" s="6"/>
    </row>
    <row r="365" spans="1:18" s="3" customFormat="1" ht="13.5" customHeight="1">
      <c r="A365" s="19" t="s">
        <v>75</v>
      </c>
      <c r="B365" s="20" t="s">
        <v>13</v>
      </c>
      <c r="C365" s="19">
        <v>0</v>
      </c>
      <c r="D365" s="23"/>
      <c r="E365" s="19">
        <v>698354</v>
      </c>
      <c r="F365" s="23"/>
      <c r="G365" s="19">
        <v>75675</v>
      </c>
      <c r="H365" s="23"/>
      <c r="I365" s="19">
        <v>6485</v>
      </c>
      <c r="J365" s="19"/>
      <c r="K365" s="19">
        <f t="shared" si="17"/>
        <v>780514</v>
      </c>
      <c r="L365" s="19"/>
      <c r="M365" s="19">
        <v>546572</v>
      </c>
      <c r="N365" s="19"/>
      <c r="O365" s="19">
        <v>87933</v>
      </c>
      <c r="P365" s="19"/>
      <c r="Q365" s="19">
        <v>146009</v>
      </c>
      <c r="R365" s="6"/>
    </row>
    <row r="366" spans="1:18" s="3" customFormat="1" ht="13.5" customHeight="1">
      <c r="A366" s="19" t="s">
        <v>31</v>
      </c>
      <c r="B366" s="20"/>
      <c r="C366" s="19">
        <v>-58</v>
      </c>
      <c r="D366" s="23"/>
      <c r="E366" s="19">
        <v>0</v>
      </c>
      <c r="F366" s="23"/>
      <c r="G366" s="19">
        <v>0</v>
      </c>
      <c r="H366" s="23"/>
      <c r="I366" s="19">
        <v>0</v>
      </c>
      <c r="J366" s="19"/>
      <c r="K366" s="19">
        <f t="shared" si="17"/>
        <v>-58</v>
      </c>
      <c r="L366" s="19"/>
      <c r="M366" s="19">
        <v>-58</v>
      </c>
      <c r="N366" s="19"/>
      <c r="O366" s="19">
        <v>0</v>
      </c>
      <c r="P366" s="19"/>
      <c r="Q366" s="19">
        <v>0</v>
      </c>
      <c r="R366" s="6"/>
    </row>
    <row r="367" spans="1:18" s="3" customFormat="1" ht="13.5" customHeight="1">
      <c r="A367" s="19" t="s">
        <v>206</v>
      </c>
      <c r="B367" s="20" t="s">
        <v>13</v>
      </c>
      <c r="C367" s="19">
        <v>22296</v>
      </c>
      <c r="D367" s="23"/>
      <c r="E367" s="19">
        <v>0</v>
      </c>
      <c r="F367" s="23"/>
      <c r="G367" s="19">
        <v>561</v>
      </c>
      <c r="H367" s="23"/>
      <c r="I367" s="19">
        <v>0</v>
      </c>
      <c r="J367" s="19"/>
      <c r="K367" s="19">
        <f t="shared" si="17"/>
        <v>22857</v>
      </c>
      <c r="L367" s="19"/>
      <c r="M367" s="19">
        <v>18715</v>
      </c>
      <c r="N367" s="19"/>
      <c r="O367" s="19">
        <v>569</v>
      </c>
      <c r="P367" s="19"/>
      <c r="Q367" s="19">
        <v>3573</v>
      </c>
      <c r="R367" s="6"/>
    </row>
    <row r="368" spans="1:18" s="3" customFormat="1" ht="13.5" customHeight="1">
      <c r="A368" s="19" t="s">
        <v>76</v>
      </c>
      <c r="B368" s="20"/>
      <c r="C368" s="21">
        <v>0</v>
      </c>
      <c r="D368" s="23"/>
      <c r="E368" s="21">
        <v>0</v>
      </c>
      <c r="F368" s="23"/>
      <c r="G368" s="21">
        <v>-2802</v>
      </c>
      <c r="H368" s="23"/>
      <c r="I368" s="21">
        <v>0</v>
      </c>
      <c r="J368" s="19"/>
      <c r="K368" s="21">
        <f t="shared" si="17"/>
        <v>-2802</v>
      </c>
      <c r="L368" s="19"/>
      <c r="M368" s="24">
        <v>0</v>
      </c>
      <c r="N368" s="19"/>
      <c r="O368" s="24">
        <v>-2802</v>
      </c>
      <c r="P368" s="19"/>
      <c r="Q368" s="24">
        <v>0</v>
      </c>
      <c r="R368" s="6"/>
    </row>
    <row r="369" spans="1:18" s="3" customFormat="1" ht="13.5" customHeight="1">
      <c r="A369" s="19" t="s">
        <v>233</v>
      </c>
      <c r="B369" s="20" t="s">
        <v>13</v>
      </c>
      <c r="C369" s="21">
        <f>SUM(C364:C368)</f>
        <v>22238</v>
      </c>
      <c r="D369" s="23"/>
      <c r="E369" s="21">
        <f>SUM(E364:E368)</f>
        <v>698354</v>
      </c>
      <c r="F369" s="23"/>
      <c r="G369" s="21">
        <f>SUM(G364:G368)</f>
        <v>76420</v>
      </c>
      <c r="H369" s="23"/>
      <c r="I369" s="21">
        <f>SUM(I364:I368)</f>
        <v>6485</v>
      </c>
      <c r="J369" s="19"/>
      <c r="K369" s="22">
        <f t="shared" si="17"/>
        <v>803497</v>
      </c>
      <c r="L369" s="19"/>
      <c r="M369" s="21">
        <f>SUM(M364:M368)</f>
        <v>565229</v>
      </c>
      <c r="N369" s="19"/>
      <c r="O369" s="21">
        <f>SUM(O364:O368)</f>
        <v>88686</v>
      </c>
      <c r="P369" s="19"/>
      <c r="Q369" s="21">
        <f>SUM(Q364:Q368)</f>
        <v>149582</v>
      </c>
      <c r="R369" s="6"/>
    </row>
    <row r="370" spans="1:18" s="3" customFormat="1" ht="13.5" customHeight="1">
      <c r="A370" s="19"/>
      <c r="B370" s="20" t="s">
        <v>13</v>
      </c>
      <c r="C370" s="19"/>
      <c r="D370" s="23"/>
      <c r="E370" s="19"/>
      <c r="F370" s="23"/>
      <c r="G370" s="19"/>
      <c r="H370" s="23"/>
      <c r="I370" s="19"/>
      <c r="J370" s="19"/>
      <c r="K370" s="19"/>
      <c r="L370" s="19"/>
      <c r="M370" s="19"/>
      <c r="N370" s="19"/>
      <c r="O370" s="19"/>
      <c r="P370" s="19"/>
      <c r="Q370" s="19"/>
      <c r="R370" s="6"/>
    </row>
    <row r="371" spans="1:18" s="3" customFormat="1" ht="13.5" customHeight="1">
      <c r="A371" s="19" t="s">
        <v>270</v>
      </c>
      <c r="B371" s="20" t="s">
        <v>13</v>
      </c>
      <c r="C371" s="19"/>
      <c r="D371" s="23"/>
      <c r="E371" s="19"/>
      <c r="F371" s="23"/>
      <c r="G371" s="19"/>
      <c r="H371" s="23"/>
      <c r="I371" s="19"/>
      <c r="J371" s="19"/>
      <c r="K371" s="19"/>
      <c r="L371" s="19"/>
      <c r="M371" s="19"/>
      <c r="N371" s="19"/>
      <c r="O371" s="19"/>
      <c r="P371" s="19"/>
      <c r="Q371" s="19"/>
      <c r="R371" s="6"/>
    </row>
    <row r="372" spans="1:18" s="3" customFormat="1" ht="13.5" customHeight="1">
      <c r="A372" s="19" t="s">
        <v>98</v>
      </c>
      <c r="B372" s="20"/>
      <c r="C372" s="19">
        <v>26424</v>
      </c>
      <c r="D372" s="23"/>
      <c r="E372" s="19">
        <v>0</v>
      </c>
      <c r="F372" s="23"/>
      <c r="G372" s="19">
        <v>18581</v>
      </c>
      <c r="H372" s="23"/>
      <c r="I372" s="19">
        <v>0</v>
      </c>
      <c r="J372" s="19"/>
      <c r="K372" s="19">
        <f aca="true" t="shared" si="18" ref="K372:K378">IF(SUM(C372:I372)=SUM(M372:Q372),SUM(C372:I372),SUM(M372:Q372)-SUM(C372:I372))</f>
        <v>45005</v>
      </c>
      <c r="L372" s="19"/>
      <c r="M372" s="19">
        <v>28095</v>
      </c>
      <c r="N372" s="19"/>
      <c r="O372" s="19">
        <v>16911</v>
      </c>
      <c r="P372" s="19"/>
      <c r="Q372" s="19">
        <v>-1</v>
      </c>
      <c r="R372" s="6"/>
    </row>
    <row r="373" spans="1:18" s="3" customFormat="1" ht="13.5" customHeight="1">
      <c r="A373" s="19" t="s">
        <v>188</v>
      </c>
      <c r="B373" s="20"/>
      <c r="C373" s="19">
        <v>3004</v>
      </c>
      <c r="D373" s="23"/>
      <c r="E373" s="19">
        <v>0</v>
      </c>
      <c r="F373" s="23"/>
      <c r="G373" s="19">
        <v>0</v>
      </c>
      <c r="H373" s="23"/>
      <c r="I373" s="19">
        <v>300</v>
      </c>
      <c r="J373" s="19"/>
      <c r="K373" s="19">
        <f t="shared" si="18"/>
        <v>3304</v>
      </c>
      <c r="L373" s="19"/>
      <c r="M373" s="19">
        <v>1280</v>
      </c>
      <c r="N373" s="19"/>
      <c r="O373" s="19">
        <f>1+2023</f>
        <v>2024</v>
      </c>
      <c r="P373" s="19"/>
      <c r="Q373" s="19">
        <v>0</v>
      </c>
      <c r="R373" s="6"/>
    </row>
    <row r="374" spans="1:18" s="3" customFormat="1" ht="13.5" customHeight="1">
      <c r="A374" s="19" t="s">
        <v>31</v>
      </c>
      <c r="B374" s="20"/>
      <c r="C374" s="23">
        <v>617879</v>
      </c>
      <c r="D374" s="23"/>
      <c r="E374" s="23">
        <v>0</v>
      </c>
      <c r="F374" s="23"/>
      <c r="G374" s="23">
        <v>359760</v>
      </c>
      <c r="H374" s="23"/>
      <c r="I374" s="23">
        <v>65147</v>
      </c>
      <c r="J374" s="19"/>
      <c r="K374" s="23">
        <f t="shared" si="18"/>
        <v>1042786</v>
      </c>
      <c r="L374" s="19"/>
      <c r="M374" s="23">
        <v>694490</v>
      </c>
      <c r="N374" s="19"/>
      <c r="O374" s="23">
        <v>115645</v>
      </c>
      <c r="P374" s="19"/>
      <c r="Q374" s="23">
        <v>232651</v>
      </c>
      <c r="R374" s="6"/>
    </row>
    <row r="375" spans="1:18" s="44" customFormat="1" ht="13.5" customHeight="1">
      <c r="A375" s="41" t="s">
        <v>54</v>
      </c>
      <c r="B375" s="42"/>
      <c r="C375" s="41">
        <v>24926</v>
      </c>
      <c r="D375" s="41"/>
      <c r="E375" s="41">
        <v>0</v>
      </c>
      <c r="F375" s="41"/>
      <c r="G375" s="41">
        <v>0</v>
      </c>
      <c r="H375" s="41"/>
      <c r="I375" s="41">
        <v>-365</v>
      </c>
      <c r="J375" s="41"/>
      <c r="K375" s="41">
        <f t="shared" si="18"/>
        <v>24561</v>
      </c>
      <c r="L375" s="41"/>
      <c r="M375" s="41">
        <v>0</v>
      </c>
      <c r="N375" s="41"/>
      <c r="O375" s="41">
        <v>24561</v>
      </c>
      <c r="P375" s="41"/>
      <c r="Q375" s="41">
        <v>0</v>
      </c>
      <c r="R375" s="43"/>
    </row>
    <row r="376" spans="1:18" s="4" customFormat="1" ht="13.5" customHeight="1">
      <c r="A376" s="23" t="s">
        <v>226</v>
      </c>
      <c r="B376" s="26"/>
      <c r="C376" s="23">
        <v>84560</v>
      </c>
      <c r="D376" s="23"/>
      <c r="E376" s="23">
        <v>156310</v>
      </c>
      <c r="F376" s="23"/>
      <c r="G376" s="23">
        <v>2557</v>
      </c>
      <c r="H376" s="23"/>
      <c r="I376" s="23">
        <v>0</v>
      </c>
      <c r="J376" s="23"/>
      <c r="K376" s="23">
        <f t="shared" si="18"/>
        <v>243427</v>
      </c>
      <c r="L376" s="23"/>
      <c r="M376" s="23">
        <v>163926</v>
      </c>
      <c r="N376" s="23"/>
      <c r="O376" s="23">
        <v>56614</v>
      </c>
      <c r="P376" s="23"/>
      <c r="Q376" s="23">
        <f>1+22886</f>
        <v>22887</v>
      </c>
      <c r="R376" s="7"/>
    </row>
    <row r="377" spans="1:18" s="4" customFormat="1" ht="13.5" customHeight="1">
      <c r="A377" s="23" t="s">
        <v>287</v>
      </c>
      <c r="B377" s="26"/>
      <c r="C377" s="23">
        <v>103991</v>
      </c>
      <c r="D377" s="23"/>
      <c r="E377" s="23">
        <v>0</v>
      </c>
      <c r="F377" s="23"/>
      <c r="G377" s="23">
        <v>0</v>
      </c>
      <c r="H377" s="23"/>
      <c r="I377" s="23">
        <v>17362</v>
      </c>
      <c r="J377" s="23"/>
      <c r="K377" s="23">
        <f t="shared" si="18"/>
        <v>121353</v>
      </c>
      <c r="L377" s="23"/>
      <c r="M377" s="23">
        <v>84983</v>
      </c>
      <c r="N377" s="23"/>
      <c r="O377" s="23">
        <v>15212</v>
      </c>
      <c r="P377" s="23"/>
      <c r="Q377" s="23">
        <v>21158</v>
      </c>
      <c r="R377" s="7"/>
    </row>
    <row r="378" spans="1:18" s="3" customFormat="1" ht="13.5" customHeight="1">
      <c r="A378" s="19" t="s">
        <v>272</v>
      </c>
      <c r="B378" s="20" t="s">
        <v>13</v>
      </c>
      <c r="C378" s="22">
        <f>SUM(C372:C377)</f>
        <v>860784</v>
      </c>
      <c r="D378" s="23"/>
      <c r="E378" s="22">
        <f>SUM(E372:E377)</f>
        <v>156310</v>
      </c>
      <c r="F378" s="23"/>
      <c r="G378" s="22">
        <f>SUM(G372:G377)</f>
        <v>380898</v>
      </c>
      <c r="H378" s="23"/>
      <c r="I378" s="22">
        <f>SUM(I372:I377)</f>
        <v>82444</v>
      </c>
      <c r="J378" s="19"/>
      <c r="K378" s="22">
        <f t="shared" si="18"/>
        <v>1480436</v>
      </c>
      <c r="L378" s="19"/>
      <c r="M378" s="22">
        <f>SUM(M372:M377)</f>
        <v>972774</v>
      </c>
      <c r="N378" s="19"/>
      <c r="O378" s="22">
        <f>SUM(O372:O377)</f>
        <v>230967</v>
      </c>
      <c r="P378" s="19"/>
      <c r="Q378" s="22">
        <f>SUM(Q372:Q377)</f>
        <v>276695</v>
      </c>
      <c r="R378" s="6"/>
    </row>
    <row r="379" spans="1:18" s="3" customFormat="1" ht="13.5" customHeight="1">
      <c r="A379" s="19"/>
      <c r="B379" s="20" t="s">
        <v>13</v>
      </c>
      <c r="C379" s="19"/>
      <c r="D379" s="23"/>
      <c r="E379" s="19"/>
      <c r="F379" s="23"/>
      <c r="G379" s="19"/>
      <c r="H379" s="23"/>
      <c r="I379" s="19"/>
      <c r="J379" s="19"/>
      <c r="K379" s="19"/>
      <c r="L379" s="19"/>
      <c r="M379" s="19"/>
      <c r="N379" s="19"/>
      <c r="O379" s="19"/>
      <c r="P379" s="19"/>
      <c r="Q379" s="19"/>
      <c r="R379" s="6"/>
    </row>
    <row r="380" spans="1:18" s="3" customFormat="1" ht="13.5" customHeight="1">
      <c r="A380" s="19" t="s">
        <v>201</v>
      </c>
      <c r="B380" s="20"/>
      <c r="C380" s="21">
        <v>1349088</v>
      </c>
      <c r="D380" s="23"/>
      <c r="E380" s="21">
        <v>0</v>
      </c>
      <c r="F380" s="23"/>
      <c r="G380" s="21">
        <v>7260</v>
      </c>
      <c r="H380" s="23"/>
      <c r="I380" s="21">
        <v>0</v>
      </c>
      <c r="J380" s="19"/>
      <c r="K380" s="21">
        <f>IF(SUM(C380:I380)=SUM(M380:Q380),SUM(C380:I380),SUM(M380:Q380)-SUM(C380:I380))</f>
        <v>1356348</v>
      </c>
      <c r="L380" s="19"/>
      <c r="M380" s="24">
        <v>1180154</v>
      </c>
      <c r="N380" s="19"/>
      <c r="O380" s="24">
        <v>172213</v>
      </c>
      <c r="P380" s="19"/>
      <c r="Q380" s="24">
        <v>3981</v>
      </c>
      <c r="R380" s="6"/>
    </row>
    <row r="381" spans="1:18" s="3" customFormat="1" ht="13.5" customHeight="1">
      <c r="A381" s="19"/>
      <c r="B381" s="20" t="s">
        <v>13</v>
      </c>
      <c r="C381" s="19"/>
      <c r="D381" s="23"/>
      <c r="E381" s="19"/>
      <c r="F381" s="23"/>
      <c r="G381" s="19"/>
      <c r="H381" s="23"/>
      <c r="I381" s="19"/>
      <c r="J381" s="19"/>
      <c r="K381" s="19"/>
      <c r="L381" s="19"/>
      <c r="M381" s="19"/>
      <c r="N381" s="19"/>
      <c r="O381" s="19"/>
      <c r="P381" s="19"/>
      <c r="Q381" s="19"/>
      <c r="R381" s="6"/>
    </row>
    <row r="382" spans="1:18" s="3" customFormat="1" ht="13.5" customHeight="1">
      <c r="A382" s="19" t="s">
        <v>209</v>
      </c>
      <c r="B382" s="20"/>
      <c r="C382" s="21">
        <v>0</v>
      </c>
      <c r="D382" s="23"/>
      <c r="E382" s="21">
        <v>0</v>
      </c>
      <c r="F382" s="23"/>
      <c r="G382" s="21">
        <v>24139</v>
      </c>
      <c r="H382" s="23"/>
      <c r="I382" s="21">
        <v>0</v>
      </c>
      <c r="J382" s="19"/>
      <c r="K382" s="24">
        <f>IF(SUM(C382:I382)=SUM(M382:Q382),SUM(C382:I382),SUM(M382:Q382)-SUM(C382:I382))</f>
        <v>24139</v>
      </c>
      <c r="L382" s="19"/>
      <c r="M382" s="24">
        <v>370</v>
      </c>
      <c r="N382" s="19"/>
      <c r="O382" s="24">
        <v>22999</v>
      </c>
      <c r="P382" s="19"/>
      <c r="Q382" s="24">
        <v>770</v>
      </c>
      <c r="R382" s="6"/>
    </row>
    <row r="383" spans="1:18" s="3" customFormat="1" ht="13.5" customHeight="1">
      <c r="A383" s="19"/>
      <c r="B383" s="20"/>
      <c r="C383" s="19"/>
      <c r="D383" s="23"/>
      <c r="E383" s="19"/>
      <c r="F383" s="23"/>
      <c r="G383" s="19"/>
      <c r="H383" s="23"/>
      <c r="I383" s="19"/>
      <c r="J383" s="19"/>
      <c r="K383" s="19"/>
      <c r="L383" s="19"/>
      <c r="M383" s="19"/>
      <c r="N383" s="19"/>
      <c r="O383" s="19"/>
      <c r="P383" s="19"/>
      <c r="Q383" s="19"/>
      <c r="R383" s="6"/>
    </row>
    <row r="384" spans="1:18" s="3" customFormat="1" ht="13.5" customHeight="1">
      <c r="A384" s="19" t="s">
        <v>254</v>
      </c>
      <c r="B384" s="20"/>
      <c r="C384" s="21">
        <v>0</v>
      </c>
      <c r="D384" s="23"/>
      <c r="E384" s="21">
        <v>0</v>
      </c>
      <c r="F384" s="23"/>
      <c r="G384" s="21">
        <v>46710</v>
      </c>
      <c r="H384" s="23"/>
      <c r="I384" s="21">
        <v>0</v>
      </c>
      <c r="J384" s="19"/>
      <c r="K384" s="21">
        <f>IF(SUM(C384:I384)=SUM(M384:Q384),SUM(C384:I384),SUM(M384:Q384)-SUM(C384:I384))</f>
        <v>46710</v>
      </c>
      <c r="L384" s="19"/>
      <c r="M384" s="24">
        <v>9885</v>
      </c>
      <c r="N384" s="19"/>
      <c r="O384" s="24">
        <v>36825</v>
      </c>
      <c r="P384" s="19"/>
      <c r="Q384" s="24">
        <v>0</v>
      </c>
      <c r="R384" s="6"/>
    </row>
    <row r="385" spans="1:18" s="3" customFormat="1" ht="13.5" customHeight="1">
      <c r="A385" s="19"/>
      <c r="B385" s="20"/>
      <c r="C385" s="19"/>
      <c r="D385" s="23"/>
      <c r="E385" s="19"/>
      <c r="F385" s="23"/>
      <c r="G385" s="19"/>
      <c r="H385" s="23"/>
      <c r="I385" s="19"/>
      <c r="J385" s="19"/>
      <c r="K385" s="19"/>
      <c r="L385" s="19"/>
      <c r="M385" s="19"/>
      <c r="N385" s="19"/>
      <c r="O385" s="19"/>
      <c r="P385" s="19"/>
      <c r="Q385" s="19"/>
      <c r="R385" s="6"/>
    </row>
    <row r="386" spans="1:18" s="3" customFormat="1" ht="13.5" customHeight="1">
      <c r="A386" s="19" t="s">
        <v>285</v>
      </c>
      <c r="B386" s="20"/>
      <c r="C386" s="21">
        <v>378762</v>
      </c>
      <c r="D386" s="23"/>
      <c r="E386" s="21">
        <v>149936</v>
      </c>
      <c r="F386" s="23"/>
      <c r="G386" s="21">
        <v>110369</v>
      </c>
      <c r="H386" s="23"/>
      <c r="I386" s="21">
        <v>1422948</v>
      </c>
      <c r="J386" s="19"/>
      <c r="K386" s="21">
        <f>IF(SUM(C386:I386)=SUM(M386:Q386),SUM(C386:I386),SUM(M386:Q386)-SUM(C386:I386))</f>
        <v>2062015</v>
      </c>
      <c r="L386" s="19"/>
      <c r="M386" s="24">
        <v>983411</v>
      </c>
      <c r="N386" s="19"/>
      <c r="O386" s="24">
        <v>1004279</v>
      </c>
      <c r="P386" s="19"/>
      <c r="Q386" s="24">
        <f>-1+74326</f>
        <v>74325</v>
      </c>
      <c r="R386" s="6"/>
    </row>
    <row r="387" spans="1:18" s="3" customFormat="1" ht="13.5" customHeight="1">
      <c r="A387" s="19"/>
      <c r="B387" s="20"/>
      <c r="C387" s="19"/>
      <c r="D387" s="23"/>
      <c r="E387" s="19"/>
      <c r="F387" s="23"/>
      <c r="G387" s="19"/>
      <c r="H387" s="23"/>
      <c r="I387" s="19"/>
      <c r="J387" s="19"/>
      <c r="K387" s="19"/>
      <c r="L387" s="19"/>
      <c r="M387" s="19"/>
      <c r="N387" s="19"/>
      <c r="O387" s="19"/>
      <c r="P387" s="19"/>
      <c r="Q387" s="19"/>
      <c r="R387" s="6"/>
    </row>
    <row r="388" spans="1:18" s="3" customFormat="1" ht="13.5" customHeight="1">
      <c r="A388" s="19" t="s">
        <v>197</v>
      </c>
      <c r="B388" s="20"/>
      <c r="C388" s="21">
        <v>19000</v>
      </c>
      <c r="D388" s="23"/>
      <c r="E388" s="21">
        <v>0</v>
      </c>
      <c r="F388" s="23"/>
      <c r="G388" s="21">
        <v>6949</v>
      </c>
      <c r="H388" s="23"/>
      <c r="I388" s="21">
        <v>41</v>
      </c>
      <c r="J388" s="19"/>
      <c r="K388" s="21">
        <f>IF(SUM(C388:I388)=SUM(M388:Q388),SUM(C388:I388),SUM(M388:Q388)-SUM(C388:I388))</f>
        <v>25990</v>
      </c>
      <c r="L388" s="19"/>
      <c r="M388" s="24">
        <v>6545</v>
      </c>
      <c r="N388" s="19"/>
      <c r="O388" s="24">
        <f>-1+19446</f>
        <v>19445</v>
      </c>
      <c r="P388" s="19"/>
      <c r="Q388" s="24">
        <v>0</v>
      </c>
      <c r="R388" s="6"/>
    </row>
    <row r="389" spans="1:18" s="3" customFormat="1" ht="13.5" customHeight="1">
      <c r="A389" s="19"/>
      <c r="B389" s="20" t="s">
        <v>13</v>
      </c>
      <c r="C389" s="19"/>
      <c r="D389" s="23"/>
      <c r="E389" s="19"/>
      <c r="F389" s="23"/>
      <c r="G389" s="19"/>
      <c r="H389" s="23"/>
      <c r="I389" s="19"/>
      <c r="J389" s="19"/>
      <c r="K389" s="19"/>
      <c r="L389" s="19"/>
      <c r="M389" s="19"/>
      <c r="N389" s="19"/>
      <c r="O389" s="19"/>
      <c r="P389" s="19"/>
      <c r="Q389" s="19"/>
      <c r="R389" s="6"/>
    </row>
    <row r="390" spans="1:18" s="3" customFormat="1" ht="13.5" customHeight="1">
      <c r="A390" s="19" t="s">
        <v>277</v>
      </c>
      <c r="B390" s="20"/>
      <c r="C390" s="21">
        <v>0</v>
      </c>
      <c r="D390" s="23"/>
      <c r="E390" s="21">
        <v>0</v>
      </c>
      <c r="F390" s="23"/>
      <c r="G390" s="21">
        <v>19815</v>
      </c>
      <c r="H390" s="23"/>
      <c r="I390" s="21">
        <v>0</v>
      </c>
      <c r="J390" s="19"/>
      <c r="K390" s="24">
        <f>IF(SUM(C390:I390)=SUM(M390:Q390),SUM(C390:I390),SUM(M390:Q390)-SUM(C390:I390))</f>
        <v>19815</v>
      </c>
      <c r="L390" s="19"/>
      <c r="M390" s="24">
        <v>0</v>
      </c>
      <c r="N390" s="19"/>
      <c r="O390" s="24">
        <v>19815</v>
      </c>
      <c r="P390" s="19"/>
      <c r="Q390" s="24">
        <v>0</v>
      </c>
      <c r="R390" s="6"/>
    </row>
    <row r="391" spans="1:20" s="3" customFormat="1" ht="13.5" customHeight="1">
      <c r="A391" s="19"/>
      <c r="B391" s="20"/>
      <c r="C391" s="23"/>
      <c r="D391" s="23"/>
      <c r="E391" s="23"/>
      <c r="F391" s="23"/>
      <c r="G391" s="23"/>
      <c r="H391" s="23"/>
      <c r="I391" s="23"/>
      <c r="J391" s="19"/>
      <c r="K391" s="23"/>
      <c r="L391" s="19"/>
      <c r="M391" s="23"/>
      <c r="N391" s="19"/>
      <c r="O391" s="23"/>
      <c r="P391" s="19"/>
      <c r="Q391" s="23"/>
      <c r="R391" s="6"/>
      <c r="T391" s="4"/>
    </row>
    <row r="392" spans="1:18" s="3" customFormat="1" ht="13.5" customHeight="1">
      <c r="A392" s="19" t="s">
        <v>61</v>
      </c>
      <c r="B392" s="20" t="s">
        <v>13</v>
      </c>
      <c r="C392" s="21">
        <v>221094</v>
      </c>
      <c r="D392" s="23"/>
      <c r="E392" s="21">
        <v>0</v>
      </c>
      <c r="F392" s="23"/>
      <c r="G392" s="21">
        <v>67110</v>
      </c>
      <c r="H392" s="23"/>
      <c r="I392" s="21">
        <v>10541</v>
      </c>
      <c r="J392" s="19"/>
      <c r="K392" s="21">
        <f>IF(SUM(C392:I392)=SUM(M392:Q392),SUM(C392:I392),SUM(M392:Q392)-SUM(C392:I392))</f>
        <v>298745</v>
      </c>
      <c r="L392" s="19"/>
      <c r="M392" s="24">
        <v>22780</v>
      </c>
      <c r="N392" s="19"/>
      <c r="O392" s="24">
        <v>248970</v>
      </c>
      <c r="P392" s="19"/>
      <c r="Q392" s="24">
        <f>-1+26996</f>
        <v>26995</v>
      </c>
      <c r="R392" s="6"/>
    </row>
    <row r="393" spans="1:18" s="3" customFormat="1" ht="13.5" customHeight="1">
      <c r="A393" s="19"/>
      <c r="B393" s="20" t="s">
        <v>13</v>
      </c>
      <c r="C393" s="19"/>
      <c r="D393" s="23"/>
      <c r="E393" s="19"/>
      <c r="F393" s="23"/>
      <c r="G393" s="19"/>
      <c r="H393" s="23"/>
      <c r="I393" s="19"/>
      <c r="J393" s="19"/>
      <c r="K393" s="19"/>
      <c r="L393" s="19"/>
      <c r="M393" s="19"/>
      <c r="N393" s="19"/>
      <c r="O393" s="19"/>
      <c r="P393" s="19"/>
      <c r="Q393" s="19"/>
      <c r="R393" s="6"/>
    </row>
    <row r="394" spans="1:18" s="3" customFormat="1" ht="13.5" customHeight="1">
      <c r="A394" s="19" t="s">
        <v>90</v>
      </c>
      <c r="B394" s="20" t="s">
        <v>13</v>
      </c>
      <c r="C394" s="21">
        <v>771824</v>
      </c>
      <c r="D394" s="23"/>
      <c r="E394" s="21">
        <v>0</v>
      </c>
      <c r="F394" s="23"/>
      <c r="G394" s="21">
        <v>0</v>
      </c>
      <c r="H394" s="23"/>
      <c r="I394" s="21">
        <v>0</v>
      </c>
      <c r="J394" s="19"/>
      <c r="K394" s="21">
        <f>IF(SUM(C394:I394)=SUM(M394:Q394),SUM(C394:I394),SUM(M394:Q394)-SUM(C394:I394))</f>
        <v>771824</v>
      </c>
      <c r="L394" s="19"/>
      <c r="M394" s="24">
        <v>0</v>
      </c>
      <c r="N394" s="19"/>
      <c r="O394" s="24">
        <v>771824</v>
      </c>
      <c r="P394" s="19"/>
      <c r="Q394" s="24">
        <v>0</v>
      </c>
      <c r="R394" s="6"/>
    </row>
    <row r="395" spans="1:18" s="3" customFormat="1" ht="13.5" customHeight="1">
      <c r="A395" s="19"/>
      <c r="B395" s="20"/>
      <c r="C395" s="23"/>
      <c r="D395" s="23"/>
      <c r="E395" s="23"/>
      <c r="F395" s="23"/>
      <c r="G395" s="23"/>
      <c r="H395" s="23"/>
      <c r="I395" s="23"/>
      <c r="J395" s="19"/>
      <c r="K395" s="23"/>
      <c r="L395" s="19"/>
      <c r="M395" s="23"/>
      <c r="N395" s="19"/>
      <c r="O395" s="23"/>
      <c r="P395" s="19"/>
      <c r="Q395" s="23"/>
      <c r="R395" s="6"/>
    </row>
    <row r="396" spans="1:18" s="3" customFormat="1" ht="13.5" customHeight="1">
      <c r="A396" s="19" t="s">
        <v>177</v>
      </c>
      <c r="B396" s="20" t="s">
        <v>13</v>
      </c>
      <c r="C396" s="19"/>
      <c r="D396" s="23"/>
      <c r="E396" s="19"/>
      <c r="F396" s="23"/>
      <c r="G396" s="19"/>
      <c r="H396" s="23"/>
      <c r="I396" s="19"/>
      <c r="J396" s="19"/>
      <c r="K396" s="19"/>
      <c r="L396" s="19"/>
      <c r="M396" s="19"/>
      <c r="N396" s="19"/>
      <c r="O396" s="19"/>
      <c r="P396" s="19"/>
      <c r="Q396" s="19"/>
      <c r="R396" s="6"/>
    </row>
    <row r="397" spans="1:18" s="3" customFormat="1" ht="13.5" customHeight="1">
      <c r="A397" s="19" t="s">
        <v>301</v>
      </c>
      <c r="B397" s="20"/>
      <c r="C397" s="19">
        <v>0</v>
      </c>
      <c r="D397" s="23"/>
      <c r="E397" s="19">
        <v>0</v>
      </c>
      <c r="F397" s="23"/>
      <c r="G397" s="19">
        <v>0</v>
      </c>
      <c r="H397" s="23"/>
      <c r="I397" s="19">
        <v>-10537</v>
      </c>
      <c r="J397" s="19"/>
      <c r="K397" s="19">
        <f>IF(SUM(C397:I397)=SUM(M397:Q397),SUM(C397:I397),SUM(M397:Q397)-SUM(C397:I397))</f>
        <v>-10537</v>
      </c>
      <c r="L397" s="19"/>
      <c r="M397" s="19">
        <v>400</v>
      </c>
      <c r="N397" s="19"/>
      <c r="O397" s="19">
        <v>-10937</v>
      </c>
      <c r="P397" s="19"/>
      <c r="Q397" s="19">
        <v>0</v>
      </c>
      <c r="R397" s="6"/>
    </row>
    <row r="398" spans="1:18" s="3" customFormat="1" ht="13.5" customHeight="1">
      <c r="A398" s="19" t="s">
        <v>241</v>
      </c>
      <c r="B398" s="20"/>
      <c r="C398" s="19">
        <v>0</v>
      </c>
      <c r="D398" s="23"/>
      <c r="E398" s="19">
        <v>0</v>
      </c>
      <c r="F398" s="23"/>
      <c r="G398" s="19">
        <v>19118</v>
      </c>
      <c r="H398" s="23"/>
      <c r="I398" s="19">
        <v>0</v>
      </c>
      <c r="J398" s="19"/>
      <c r="K398" s="19">
        <f>IF(SUM(C398:I398)=SUM(M398:Q398),SUM(C398:I398),SUM(M398:Q398)-SUM(C398:I398))</f>
        <v>19118</v>
      </c>
      <c r="L398" s="19"/>
      <c r="M398" s="19">
        <v>0</v>
      </c>
      <c r="N398" s="19"/>
      <c r="O398" s="19">
        <v>19118</v>
      </c>
      <c r="P398" s="19"/>
      <c r="Q398" s="19">
        <v>0</v>
      </c>
      <c r="R398" s="6"/>
    </row>
    <row r="399" spans="1:18" s="3" customFormat="1" ht="13.5" customHeight="1">
      <c r="A399" s="19" t="s">
        <v>31</v>
      </c>
      <c r="B399" s="20"/>
      <c r="C399" s="19">
        <v>0</v>
      </c>
      <c r="D399" s="23"/>
      <c r="E399" s="19">
        <v>0</v>
      </c>
      <c r="F399" s="23"/>
      <c r="G399" s="19">
        <v>370</v>
      </c>
      <c r="H399" s="23"/>
      <c r="I399" s="19">
        <v>0</v>
      </c>
      <c r="J399" s="19"/>
      <c r="K399" s="19">
        <f>IF(SUM(C399:I399)=SUM(M399:Q399),SUM(C399:I399),SUM(M399:Q399)-SUM(C399:I399))</f>
        <v>370</v>
      </c>
      <c r="L399" s="19"/>
      <c r="M399" s="19">
        <v>0</v>
      </c>
      <c r="N399" s="19"/>
      <c r="O399" s="19">
        <v>370</v>
      </c>
      <c r="P399" s="19"/>
      <c r="Q399" s="19">
        <v>0</v>
      </c>
      <c r="R399" s="6"/>
    </row>
    <row r="400" spans="1:18" s="3" customFormat="1" ht="13.5" customHeight="1">
      <c r="A400" s="19" t="s">
        <v>173</v>
      </c>
      <c r="B400" s="20"/>
      <c r="C400" s="19">
        <v>0</v>
      </c>
      <c r="D400" s="23"/>
      <c r="E400" s="19">
        <v>0</v>
      </c>
      <c r="F400" s="23"/>
      <c r="G400" s="19">
        <v>45647</v>
      </c>
      <c r="H400" s="23"/>
      <c r="I400" s="19">
        <v>0</v>
      </c>
      <c r="J400" s="19"/>
      <c r="K400" s="21">
        <f>IF(SUM(C400:I400)=SUM(M400:Q400),SUM(C400:I400),SUM(M400:Q400)-SUM(C400:I400))</f>
        <v>45647</v>
      </c>
      <c r="L400" s="19"/>
      <c r="M400" s="24">
        <v>45633</v>
      </c>
      <c r="N400" s="19"/>
      <c r="O400" s="24">
        <v>14</v>
      </c>
      <c r="P400" s="19"/>
      <c r="Q400" s="24">
        <v>0</v>
      </c>
      <c r="R400" s="6"/>
    </row>
    <row r="401" spans="1:18" s="3" customFormat="1" ht="13.5" customHeight="1">
      <c r="A401" s="19" t="s">
        <v>131</v>
      </c>
      <c r="B401" s="20" t="s">
        <v>13</v>
      </c>
      <c r="C401" s="22">
        <f>SUM(C397:C400)</f>
        <v>0</v>
      </c>
      <c r="D401" s="23"/>
      <c r="E401" s="22">
        <f>SUM(E397:E400)</f>
        <v>0</v>
      </c>
      <c r="F401" s="23"/>
      <c r="G401" s="22">
        <f>SUM(G397:G400)</f>
        <v>65135</v>
      </c>
      <c r="H401" s="23"/>
      <c r="I401" s="22">
        <f>SUM(I397:I400)</f>
        <v>-10537</v>
      </c>
      <c r="J401" s="19"/>
      <c r="K401" s="22">
        <f>IF(SUM(C401:I401)=SUM(M401:Q401),SUM(C401:I401),SUM(M401:Q401)-SUM(C401:I401))</f>
        <v>54598</v>
      </c>
      <c r="L401" s="19"/>
      <c r="M401" s="22">
        <f>SUM(M397:M400)</f>
        <v>46033</v>
      </c>
      <c r="N401" s="19"/>
      <c r="O401" s="22">
        <f>SUM(O397:O400)</f>
        <v>8565</v>
      </c>
      <c r="P401" s="19"/>
      <c r="Q401" s="22">
        <f>SUM(Q397:Q400)</f>
        <v>0</v>
      </c>
      <c r="R401" s="6"/>
    </row>
    <row r="402" spans="1:18" s="3" customFormat="1" ht="12.75" customHeight="1">
      <c r="A402" s="19"/>
      <c r="B402" s="20" t="s">
        <v>13</v>
      </c>
      <c r="C402" s="19"/>
      <c r="D402" s="23"/>
      <c r="E402" s="19"/>
      <c r="F402" s="23"/>
      <c r="G402" s="19"/>
      <c r="H402" s="23"/>
      <c r="I402" s="19"/>
      <c r="J402" s="19"/>
      <c r="K402" s="19"/>
      <c r="L402" s="19"/>
      <c r="M402" s="19"/>
      <c r="N402" s="19"/>
      <c r="O402" s="19"/>
      <c r="P402" s="19"/>
      <c r="Q402" s="19"/>
      <c r="R402" s="6"/>
    </row>
    <row r="403" spans="1:18" s="3" customFormat="1" ht="13.5" customHeight="1">
      <c r="A403" s="19" t="s">
        <v>213</v>
      </c>
      <c r="B403" s="20" t="s">
        <v>13</v>
      </c>
      <c r="C403" s="21">
        <v>93419</v>
      </c>
      <c r="D403" s="23"/>
      <c r="E403" s="21">
        <v>0</v>
      </c>
      <c r="F403" s="23"/>
      <c r="G403" s="21">
        <v>0</v>
      </c>
      <c r="H403" s="23"/>
      <c r="I403" s="21">
        <v>130649</v>
      </c>
      <c r="J403" s="19"/>
      <c r="K403" s="21">
        <f>IF(SUM(C403:I403)=SUM(M403:Q403),SUM(C403:I403),SUM(M403:Q403)-SUM(C403:I403))</f>
        <v>224068</v>
      </c>
      <c r="L403" s="19"/>
      <c r="M403" s="24">
        <v>49389</v>
      </c>
      <c r="N403" s="19"/>
      <c r="O403" s="24">
        <v>143057</v>
      </c>
      <c r="P403" s="19"/>
      <c r="Q403" s="24">
        <f>-1+31623</f>
        <v>31622</v>
      </c>
      <c r="R403" s="6"/>
    </row>
    <row r="404" spans="1:18" s="3" customFormat="1" ht="13.5" customHeight="1">
      <c r="A404" s="19"/>
      <c r="B404" s="20"/>
      <c r="C404" s="23"/>
      <c r="D404" s="23"/>
      <c r="E404" s="23"/>
      <c r="F404" s="23"/>
      <c r="G404" s="23"/>
      <c r="H404" s="23"/>
      <c r="I404" s="23"/>
      <c r="J404" s="19"/>
      <c r="K404" s="23"/>
      <c r="L404" s="19"/>
      <c r="M404" s="23"/>
      <c r="N404" s="19"/>
      <c r="O404" s="23"/>
      <c r="P404" s="19"/>
      <c r="Q404" s="23"/>
      <c r="R404" s="6"/>
    </row>
    <row r="405" spans="1:18" s="3" customFormat="1" ht="13.5" customHeight="1">
      <c r="A405" s="19" t="s">
        <v>318</v>
      </c>
      <c r="B405" s="20" t="s">
        <v>13</v>
      </c>
      <c r="C405" s="21">
        <v>0</v>
      </c>
      <c r="D405" s="23"/>
      <c r="E405" s="21">
        <v>1260</v>
      </c>
      <c r="F405" s="23"/>
      <c r="G405" s="21">
        <v>0</v>
      </c>
      <c r="H405" s="23"/>
      <c r="I405" s="21">
        <v>0</v>
      </c>
      <c r="J405" s="19"/>
      <c r="K405" s="21">
        <f>IF(SUM(C405:I405)=SUM(M405:Q405),SUM(C405:I405),SUM(M405:Q405)-SUM(C405:I405))</f>
        <v>1260</v>
      </c>
      <c r="L405" s="19"/>
      <c r="M405" s="24">
        <v>0</v>
      </c>
      <c r="N405" s="19"/>
      <c r="O405" s="24">
        <v>1000</v>
      </c>
      <c r="P405" s="19"/>
      <c r="Q405" s="24">
        <v>260</v>
      </c>
      <c r="R405" s="6"/>
    </row>
    <row r="406" spans="1:18" s="3" customFormat="1" ht="13.5" customHeight="1">
      <c r="A406" s="19"/>
      <c r="B406" s="20"/>
      <c r="C406" s="23"/>
      <c r="D406" s="23"/>
      <c r="E406" s="23"/>
      <c r="F406" s="23"/>
      <c r="G406" s="23"/>
      <c r="H406" s="23"/>
      <c r="I406" s="23"/>
      <c r="J406" s="19"/>
      <c r="K406" s="23"/>
      <c r="L406" s="19"/>
      <c r="M406" s="23"/>
      <c r="N406" s="19"/>
      <c r="O406" s="23"/>
      <c r="P406" s="19"/>
      <c r="Q406" s="23"/>
      <c r="R406" s="6"/>
    </row>
    <row r="407" spans="1:18" s="3" customFormat="1" ht="13.5" customHeight="1">
      <c r="A407" s="19" t="s">
        <v>302</v>
      </c>
      <c r="B407" s="20" t="s">
        <v>13</v>
      </c>
      <c r="C407" s="21">
        <v>0</v>
      </c>
      <c r="D407" s="23"/>
      <c r="E407" s="21">
        <v>0</v>
      </c>
      <c r="F407" s="23"/>
      <c r="G407" s="21">
        <v>160741</v>
      </c>
      <c r="H407" s="23"/>
      <c r="I407" s="21">
        <v>15744</v>
      </c>
      <c r="J407" s="19"/>
      <c r="K407" s="21">
        <f>IF(SUM(C407:I407)=SUM(M407:Q407),SUM(C407:I407),SUM(M407:Q407)-SUM(C407:I407))</f>
        <v>176485</v>
      </c>
      <c r="L407" s="19"/>
      <c r="M407" s="24">
        <v>37794</v>
      </c>
      <c r="N407" s="19"/>
      <c r="O407" s="24">
        <v>107913</v>
      </c>
      <c r="P407" s="19"/>
      <c r="Q407" s="24">
        <v>30778</v>
      </c>
      <c r="R407" s="6"/>
    </row>
    <row r="408" spans="1:18" s="3" customFormat="1" ht="13.5" customHeight="1">
      <c r="A408" s="19"/>
      <c r="B408" s="20"/>
      <c r="C408" s="19"/>
      <c r="D408" s="23"/>
      <c r="E408" s="19"/>
      <c r="F408" s="23"/>
      <c r="G408" s="19"/>
      <c r="H408" s="23"/>
      <c r="I408" s="19"/>
      <c r="J408" s="19"/>
      <c r="K408" s="19"/>
      <c r="L408" s="19"/>
      <c r="M408" s="19"/>
      <c r="N408" s="19"/>
      <c r="O408" s="19"/>
      <c r="P408" s="19"/>
      <c r="Q408" s="19"/>
      <c r="R408" s="6"/>
    </row>
    <row r="409" spans="1:18" s="3" customFormat="1" ht="13.5" customHeight="1">
      <c r="A409" s="19" t="s">
        <v>234</v>
      </c>
      <c r="B409" s="20" t="s">
        <v>13</v>
      </c>
      <c r="C409" s="19" t="s">
        <v>13</v>
      </c>
      <c r="D409" s="23"/>
      <c r="E409" s="19" t="s">
        <v>13</v>
      </c>
      <c r="F409" s="23"/>
      <c r="G409" s="19" t="s">
        <v>13</v>
      </c>
      <c r="H409" s="23"/>
      <c r="I409" s="19" t="s">
        <v>13</v>
      </c>
      <c r="J409" s="19"/>
      <c r="K409" s="19"/>
      <c r="L409" s="19"/>
      <c r="M409" s="19" t="s">
        <v>13</v>
      </c>
      <c r="N409" s="19"/>
      <c r="O409" s="19" t="s">
        <v>13</v>
      </c>
      <c r="P409" s="19"/>
      <c r="Q409" s="19" t="s">
        <v>13</v>
      </c>
      <c r="R409" s="6"/>
    </row>
    <row r="410" spans="1:18" s="3" customFormat="1" ht="13.5" customHeight="1">
      <c r="A410" s="19" t="s">
        <v>275</v>
      </c>
      <c r="B410" s="20"/>
      <c r="C410" s="19">
        <v>0</v>
      </c>
      <c r="D410" s="23"/>
      <c r="E410" s="19">
        <v>0</v>
      </c>
      <c r="F410" s="23"/>
      <c r="G410" s="19">
        <v>0</v>
      </c>
      <c r="H410" s="23"/>
      <c r="I410" s="19">
        <v>9990</v>
      </c>
      <c r="J410" s="19"/>
      <c r="K410" s="19">
        <f aca="true" t="shared" si="19" ref="K410:K415">IF(SUM(C410:I410)=SUM(M410:Q410),SUM(C410:I410),SUM(M410:Q410)-SUM(C410:I410))</f>
        <v>9990</v>
      </c>
      <c r="L410" s="19"/>
      <c r="M410" s="19">
        <v>0</v>
      </c>
      <c r="N410" s="19"/>
      <c r="O410" s="19">
        <v>9990</v>
      </c>
      <c r="P410" s="19"/>
      <c r="Q410" s="19">
        <v>0</v>
      </c>
      <c r="R410" s="6"/>
    </row>
    <row r="411" spans="1:18" s="3" customFormat="1" ht="13.5" customHeight="1">
      <c r="A411" s="19" t="s">
        <v>288</v>
      </c>
      <c r="B411" s="20"/>
      <c r="C411" s="19">
        <v>3936</v>
      </c>
      <c r="D411" s="23"/>
      <c r="E411" s="19">
        <v>0</v>
      </c>
      <c r="F411" s="23"/>
      <c r="G411" s="19">
        <v>0</v>
      </c>
      <c r="H411" s="23"/>
      <c r="I411" s="19">
        <v>0</v>
      </c>
      <c r="J411" s="19"/>
      <c r="K411" s="19">
        <f t="shared" si="19"/>
        <v>3936</v>
      </c>
      <c r="L411" s="19"/>
      <c r="M411" s="19">
        <v>3936</v>
      </c>
      <c r="N411" s="19"/>
      <c r="O411" s="19">
        <v>0</v>
      </c>
      <c r="P411" s="19"/>
      <c r="Q411" s="19">
        <v>0</v>
      </c>
      <c r="R411" s="6"/>
    </row>
    <row r="412" spans="1:18" s="3" customFormat="1" ht="13.5" customHeight="1">
      <c r="A412" s="19" t="s">
        <v>276</v>
      </c>
      <c r="B412" s="20"/>
      <c r="C412" s="19">
        <v>0</v>
      </c>
      <c r="D412" s="23"/>
      <c r="E412" s="19">
        <v>0</v>
      </c>
      <c r="F412" s="23"/>
      <c r="G412" s="19">
        <v>508</v>
      </c>
      <c r="H412" s="23"/>
      <c r="I412" s="19">
        <v>0</v>
      </c>
      <c r="J412" s="19"/>
      <c r="K412" s="19">
        <f t="shared" si="19"/>
        <v>508</v>
      </c>
      <c r="L412" s="19"/>
      <c r="M412" s="19">
        <v>0</v>
      </c>
      <c r="N412" s="19"/>
      <c r="O412" s="19">
        <v>508</v>
      </c>
      <c r="P412" s="19"/>
      <c r="Q412" s="19">
        <v>0</v>
      </c>
      <c r="R412" s="6"/>
    </row>
    <row r="413" spans="1:18" s="3" customFormat="1" ht="13.5" customHeight="1">
      <c r="A413" s="19" t="s">
        <v>242</v>
      </c>
      <c r="B413" s="20"/>
      <c r="C413" s="19">
        <v>327893</v>
      </c>
      <c r="D413" s="23"/>
      <c r="E413" s="19">
        <v>0</v>
      </c>
      <c r="F413" s="23"/>
      <c r="G413" s="19">
        <v>76881</v>
      </c>
      <c r="H413" s="23"/>
      <c r="I413" s="19">
        <v>40513</v>
      </c>
      <c r="J413" s="19"/>
      <c r="K413" s="23">
        <f t="shared" si="19"/>
        <v>445287</v>
      </c>
      <c r="L413" s="19"/>
      <c r="M413" s="23">
        <v>334418</v>
      </c>
      <c r="N413" s="19"/>
      <c r="O413" s="23">
        <v>77468</v>
      </c>
      <c r="P413" s="19"/>
      <c r="Q413" s="23">
        <v>33401</v>
      </c>
      <c r="R413" s="6"/>
    </row>
    <row r="414" spans="1:18" s="3" customFormat="1" ht="13.5" customHeight="1">
      <c r="A414" s="19" t="s">
        <v>319</v>
      </c>
      <c r="B414" s="20"/>
      <c r="C414" s="19">
        <v>0</v>
      </c>
      <c r="D414" s="23"/>
      <c r="E414" s="19">
        <v>0</v>
      </c>
      <c r="F414" s="23"/>
      <c r="G414" s="19">
        <v>3012</v>
      </c>
      <c r="H414" s="23"/>
      <c r="I414" s="19">
        <v>0</v>
      </c>
      <c r="J414" s="19"/>
      <c r="K414" s="23">
        <f t="shared" si="19"/>
        <v>3012</v>
      </c>
      <c r="L414" s="19"/>
      <c r="M414" s="24">
        <v>0</v>
      </c>
      <c r="N414" s="19"/>
      <c r="O414" s="24">
        <v>3012</v>
      </c>
      <c r="P414" s="19"/>
      <c r="Q414" s="24">
        <v>0</v>
      </c>
      <c r="R414" s="6"/>
    </row>
    <row r="415" spans="1:18" s="4" customFormat="1" ht="13.5" customHeight="1">
      <c r="A415" s="19" t="s">
        <v>235</v>
      </c>
      <c r="B415" s="20" t="s">
        <v>13</v>
      </c>
      <c r="C415" s="34">
        <f>SUM(C410:C414)</f>
        <v>331829</v>
      </c>
      <c r="D415" s="23"/>
      <c r="E415" s="34">
        <f>SUM(E410:E414)</f>
        <v>0</v>
      </c>
      <c r="F415" s="23"/>
      <c r="G415" s="34">
        <f>SUM(G410:G414)</f>
        <v>80401</v>
      </c>
      <c r="H415" s="23"/>
      <c r="I415" s="34">
        <f>SUM(I410:I414)</f>
        <v>50503</v>
      </c>
      <c r="J415" s="19"/>
      <c r="K415" s="22">
        <f t="shared" si="19"/>
        <v>462733</v>
      </c>
      <c r="L415" s="19"/>
      <c r="M415" s="21">
        <f>SUM(M410:M414)</f>
        <v>338354</v>
      </c>
      <c r="N415" s="19"/>
      <c r="O415" s="21">
        <f>SUM(O410:O414)</f>
        <v>90978</v>
      </c>
      <c r="P415" s="19"/>
      <c r="Q415" s="21">
        <f>SUM(Q410:Q414)</f>
        <v>33401</v>
      </c>
      <c r="R415" s="7"/>
    </row>
    <row r="416" spans="1:18" s="3" customFormat="1" ht="13.5" customHeight="1">
      <c r="A416" s="19"/>
      <c r="B416" s="20" t="s">
        <v>13</v>
      </c>
      <c r="C416" s="19"/>
      <c r="D416" s="23"/>
      <c r="E416" s="19"/>
      <c r="F416" s="23"/>
      <c r="G416" s="19"/>
      <c r="H416" s="23"/>
      <c r="I416" s="19"/>
      <c r="J416" s="19"/>
      <c r="K416" s="19"/>
      <c r="L416" s="19"/>
      <c r="M416" s="19"/>
      <c r="N416" s="19"/>
      <c r="O416" s="19"/>
      <c r="P416" s="19"/>
      <c r="Q416" s="19"/>
      <c r="R416" s="6"/>
    </row>
    <row r="417" spans="1:18" s="3" customFormat="1" ht="13.5" customHeight="1">
      <c r="A417" s="23" t="s">
        <v>265</v>
      </c>
      <c r="B417" s="26" t="s">
        <v>13</v>
      </c>
      <c r="C417" s="23"/>
      <c r="D417" s="23"/>
      <c r="E417" s="23"/>
      <c r="F417" s="23"/>
      <c r="G417" s="23"/>
      <c r="H417" s="23"/>
      <c r="I417" s="23"/>
      <c r="J417" s="23"/>
      <c r="K417" s="19"/>
      <c r="L417" s="23"/>
      <c r="M417" s="23"/>
      <c r="N417" s="23"/>
      <c r="O417" s="23"/>
      <c r="P417" s="23"/>
      <c r="Q417" s="23"/>
      <c r="R417" s="6"/>
    </row>
    <row r="418" spans="1:18" s="3" customFormat="1" ht="13.5" customHeight="1">
      <c r="A418" s="19" t="s">
        <v>155</v>
      </c>
      <c r="B418" s="26"/>
      <c r="C418" s="23">
        <v>0</v>
      </c>
      <c r="D418" s="23"/>
      <c r="E418" s="23">
        <v>9063870</v>
      </c>
      <c r="F418" s="23"/>
      <c r="G418" s="23">
        <v>88888</v>
      </c>
      <c r="H418" s="23"/>
      <c r="I418" s="23">
        <v>0</v>
      </c>
      <c r="J418" s="23"/>
      <c r="K418" s="23">
        <f>IF(SUM(C418:I418)=SUM(M418:Q418),SUM(C418:I418),SUM(M418:Q418)-SUM(C418:I418))</f>
        <v>9152758</v>
      </c>
      <c r="L418" s="23"/>
      <c r="M418" s="19">
        <v>6350103</v>
      </c>
      <c r="N418" s="19"/>
      <c r="O418" s="19">
        <v>448844</v>
      </c>
      <c r="P418" s="19"/>
      <c r="Q418" s="19">
        <f>1+2353810</f>
        <v>2353811</v>
      </c>
      <c r="R418" s="6"/>
    </row>
    <row r="419" spans="1:18" s="3" customFormat="1" ht="13.5" customHeight="1">
      <c r="A419" s="19" t="s">
        <v>229</v>
      </c>
      <c r="B419" s="20"/>
      <c r="C419" s="21">
        <v>810349</v>
      </c>
      <c r="D419" s="23"/>
      <c r="E419" s="21">
        <v>0</v>
      </c>
      <c r="F419" s="23"/>
      <c r="G419" s="21">
        <v>200167</v>
      </c>
      <c r="H419" s="23"/>
      <c r="I419" s="21">
        <v>0</v>
      </c>
      <c r="J419" s="19"/>
      <c r="K419" s="23">
        <f>IF(SUM(C419:I419)=SUM(M419:Q419),SUM(C419:I419),SUM(M419:Q419)-SUM(C419:I419))</f>
        <v>1010516</v>
      </c>
      <c r="L419" s="19"/>
      <c r="M419" s="24">
        <v>781190</v>
      </c>
      <c r="N419" s="19"/>
      <c r="O419" s="24">
        <v>72327</v>
      </c>
      <c r="P419" s="19"/>
      <c r="Q419" s="24">
        <f>-1+157000</f>
        <v>156999</v>
      </c>
      <c r="R419" s="6"/>
    </row>
    <row r="420" spans="1:18" s="3" customFormat="1" ht="13.5" customHeight="1">
      <c r="A420" s="19" t="s">
        <v>266</v>
      </c>
      <c r="B420" s="20" t="s">
        <v>13</v>
      </c>
      <c r="C420" s="34">
        <f>SUM(C418:C419)</f>
        <v>810349</v>
      </c>
      <c r="D420" s="23"/>
      <c r="E420" s="34">
        <f>SUM(E418:E419)</f>
        <v>9063870</v>
      </c>
      <c r="F420" s="23"/>
      <c r="G420" s="34">
        <f>SUM(G418:G419)</f>
        <v>289055</v>
      </c>
      <c r="H420" s="23"/>
      <c r="I420" s="34">
        <f>SUM(I418:I419)</f>
        <v>0</v>
      </c>
      <c r="J420" s="19"/>
      <c r="K420" s="34">
        <f>SUM(K418:K419)</f>
        <v>10163274</v>
      </c>
      <c r="L420" s="19"/>
      <c r="M420" s="34">
        <f>SUM(M418:M419)</f>
        <v>7131293</v>
      </c>
      <c r="N420" s="19"/>
      <c r="O420" s="34">
        <f>SUM(O418:O419)</f>
        <v>521171</v>
      </c>
      <c r="P420" s="19"/>
      <c r="Q420" s="34">
        <f>SUM(Q418:Q419)</f>
        <v>2510810</v>
      </c>
      <c r="R420" s="6"/>
    </row>
    <row r="421" spans="1:18" s="3" customFormat="1" ht="13.5" customHeight="1">
      <c r="A421" s="19"/>
      <c r="B421" s="20"/>
      <c r="C421" s="19"/>
      <c r="D421" s="23"/>
      <c r="E421" s="19"/>
      <c r="F421" s="23"/>
      <c r="G421" s="19"/>
      <c r="H421" s="23"/>
      <c r="I421" s="19"/>
      <c r="J421" s="19"/>
      <c r="K421" s="19"/>
      <c r="L421" s="19"/>
      <c r="M421" s="19"/>
      <c r="N421" s="19"/>
      <c r="O421" s="19"/>
      <c r="P421" s="19"/>
      <c r="Q421" s="19"/>
      <c r="R421" s="6"/>
    </row>
    <row r="422" spans="1:18" s="3" customFormat="1" ht="13.5" customHeight="1">
      <c r="A422" s="19" t="s">
        <v>20</v>
      </c>
      <c r="B422" s="20" t="s">
        <v>13</v>
      </c>
      <c r="C422" s="19"/>
      <c r="D422" s="23"/>
      <c r="E422" s="19"/>
      <c r="F422" s="23"/>
      <c r="G422" s="19"/>
      <c r="H422" s="23"/>
      <c r="I422" s="19"/>
      <c r="J422" s="19"/>
      <c r="K422" s="19"/>
      <c r="L422" s="19"/>
      <c r="M422" s="19"/>
      <c r="N422" s="19"/>
      <c r="O422" s="19"/>
      <c r="P422" s="19"/>
      <c r="Q422" s="19"/>
      <c r="R422" s="6"/>
    </row>
    <row r="423" spans="1:18" s="3" customFormat="1" ht="13.5" customHeight="1">
      <c r="A423" s="19" t="s">
        <v>67</v>
      </c>
      <c r="B423" s="20"/>
      <c r="C423" s="19">
        <v>6453</v>
      </c>
      <c r="D423" s="23"/>
      <c r="E423" s="19">
        <v>0</v>
      </c>
      <c r="F423" s="23"/>
      <c r="G423" s="19">
        <v>152447</v>
      </c>
      <c r="H423" s="23"/>
      <c r="I423" s="19">
        <v>0</v>
      </c>
      <c r="J423" s="19"/>
      <c r="K423" s="19">
        <f aca="true" t="shared" si="20" ref="K423:K429">IF(SUM(C423:I423)=SUM(M423:Q423),SUM(C423:I423),SUM(M423:Q423)-SUM(C423:I423))</f>
        <v>158900</v>
      </c>
      <c r="L423" s="19"/>
      <c r="M423" s="19">
        <v>63199</v>
      </c>
      <c r="N423" s="19"/>
      <c r="O423" s="19">
        <v>83804</v>
      </c>
      <c r="P423" s="19"/>
      <c r="Q423" s="19">
        <v>11897</v>
      </c>
      <c r="R423" s="6"/>
    </row>
    <row r="424" spans="1:18" s="3" customFormat="1" ht="13.5" customHeight="1">
      <c r="A424" s="19" t="s">
        <v>91</v>
      </c>
      <c r="B424" s="20" t="s">
        <v>13</v>
      </c>
      <c r="C424" s="19">
        <v>1599893</v>
      </c>
      <c r="D424" s="23"/>
      <c r="E424" s="19">
        <v>0</v>
      </c>
      <c r="F424" s="23"/>
      <c r="G424" s="19">
        <v>0</v>
      </c>
      <c r="H424" s="23"/>
      <c r="I424" s="19">
        <v>0</v>
      </c>
      <c r="J424" s="19"/>
      <c r="K424" s="19">
        <f t="shared" si="20"/>
        <v>1599893</v>
      </c>
      <c r="L424" s="19"/>
      <c r="M424" s="19">
        <v>684705</v>
      </c>
      <c r="N424" s="19"/>
      <c r="O424" s="19">
        <v>915188</v>
      </c>
      <c r="P424" s="19"/>
      <c r="Q424" s="19">
        <v>0</v>
      </c>
      <c r="R424" s="6"/>
    </row>
    <row r="425" spans="1:18" s="3" customFormat="1" ht="13.5" customHeight="1">
      <c r="A425" s="19" t="s">
        <v>88</v>
      </c>
      <c r="B425" s="20" t="s">
        <v>13</v>
      </c>
      <c r="C425" s="19">
        <v>0</v>
      </c>
      <c r="D425" s="23"/>
      <c r="E425" s="19">
        <v>205436</v>
      </c>
      <c r="F425" s="23"/>
      <c r="G425" s="19">
        <v>53170</v>
      </c>
      <c r="H425" s="23"/>
      <c r="I425" s="19">
        <v>417778</v>
      </c>
      <c r="J425" s="19"/>
      <c r="K425" s="19">
        <f t="shared" si="20"/>
        <v>676384</v>
      </c>
      <c r="L425" s="19"/>
      <c r="M425" s="19">
        <v>691734</v>
      </c>
      <c r="N425" s="19"/>
      <c r="O425" s="19">
        <v>-33890</v>
      </c>
      <c r="P425" s="19"/>
      <c r="Q425" s="19">
        <f>-1+18541</f>
        <v>18540</v>
      </c>
      <c r="R425" s="6"/>
    </row>
    <row r="426" spans="1:18" s="3" customFormat="1" ht="13.5" customHeight="1">
      <c r="A426" s="19" t="s">
        <v>238</v>
      </c>
      <c r="B426" s="20"/>
      <c r="C426" s="19">
        <v>0</v>
      </c>
      <c r="D426" s="23"/>
      <c r="E426" s="19">
        <v>0</v>
      </c>
      <c r="F426" s="23"/>
      <c r="G426" s="19">
        <v>4670</v>
      </c>
      <c r="H426" s="23"/>
      <c r="I426" s="19">
        <v>0</v>
      </c>
      <c r="J426" s="19"/>
      <c r="K426" s="19">
        <f t="shared" si="20"/>
        <v>4670</v>
      </c>
      <c r="L426" s="19"/>
      <c r="M426" s="19">
        <v>555</v>
      </c>
      <c r="N426" s="19"/>
      <c r="O426" s="19">
        <v>4115</v>
      </c>
      <c r="P426" s="19"/>
      <c r="Q426" s="19">
        <v>0</v>
      </c>
      <c r="R426" s="6"/>
    </row>
    <row r="427" spans="1:18" s="3" customFormat="1" ht="13.5" customHeight="1">
      <c r="A427" s="19" t="s">
        <v>31</v>
      </c>
      <c r="B427" s="20"/>
      <c r="C427" s="19">
        <v>0</v>
      </c>
      <c r="D427" s="23"/>
      <c r="E427" s="19">
        <v>0</v>
      </c>
      <c r="F427" s="23"/>
      <c r="G427" s="19">
        <v>522</v>
      </c>
      <c r="H427" s="23"/>
      <c r="I427" s="19">
        <v>0</v>
      </c>
      <c r="J427" s="19"/>
      <c r="K427" s="19">
        <f t="shared" si="20"/>
        <v>522</v>
      </c>
      <c r="L427" s="19"/>
      <c r="M427" s="19">
        <v>0</v>
      </c>
      <c r="N427" s="19"/>
      <c r="O427" s="19">
        <v>522</v>
      </c>
      <c r="P427" s="19"/>
      <c r="Q427" s="19">
        <v>0</v>
      </c>
      <c r="R427" s="6"/>
    </row>
    <row r="428" spans="1:18" s="3" customFormat="1" ht="13.5" customHeight="1">
      <c r="A428" s="19" t="s">
        <v>118</v>
      </c>
      <c r="B428" s="20"/>
      <c r="C428" s="21">
        <v>102</v>
      </c>
      <c r="D428" s="23"/>
      <c r="E428" s="21">
        <v>220247</v>
      </c>
      <c r="F428" s="23"/>
      <c r="G428" s="21">
        <v>0</v>
      </c>
      <c r="H428" s="23"/>
      <c r="I428" s="21">
        <v>0</v>
      </c>
      <c r="J428" s="19"/>
      <c r="K428" s="19">
        <f t="shared" si="20"/>
        <v>220349</v>
      </c>
      <c r="L428" s="19"/>
      <c r="M428" s="24">
        <v>172688</v>
      </c>
      <c r="N428" s="19"/>
      <c r="O428" s="24">
        <v>2213</v>
      </c>
      <c r="P428" s="19"/>
      <c r="Q428" s="24">
        <v>45448</v>
      </c>
      <c r="R428" s="6"/>
    </row>
    <row r="429" spans="1:18" s="3" customFormat="1" ht="13.5" customHeight="1">
      <c r="A429" s="19" t="s">
        <v>132</v>
      </c>
      <c r="B429" s="20" t="s">
        <v>13</v>
      </c>
      <c r="C429" s="21">
        <f>SUM(C423:C428)</f>
        <v>1606448</v>
      </c>
      <c r="D429" s="23"/>
      <c r="E429" s="21">
        <f>SUM(E423:E428)</f>
        <v>425683</v>
      </c>
      <c r="F429" s="23"/>
      <c r="G429" s="21">
        <f>SUM(G423:G428)</f>
        <v>210809</v>
      </c>
      <c r="H429" s="23"/>
      <c r="I429" s="21">
        <f>SUM(I423:I428)</f>
        <v>417778</v>
      </c>
      <c r="J429" s="19"/>
      <c r="K429" s="22">
        <f t="shared" si="20"/>
        <v>2660718</v>
      </c>
      <c r="L429" s="19"/>
      <c r="M429" s="21">
        <f>SUM(M423:M428)</f>
        <v>1612881</v>
      </c>
      <c r="N429" s="19"/>
      <c r="O429" s="21">
        <f>SUM(O423:O428)</f>
        <v>971952</v>
      </c>
      <c r="P429" s="19"/>
      <c r="Q429" s="21">
        <f>SUM(Q423:Q428)</f>
        <v>75885</v>
      </c>
      <c r="R429" s="6"/>
    </row>
    <row r="430" spans="1:18" s="3" customFormat="1" ht="13.5" customHeight="1">
      <c r="A430" s="19"/>
      <c r="B430" s="20"/>
      <c r="C430" s="23"/>
      <c r="D430" s="23"/>
      <c r="E430" s="23"/>
      <c r="F430" s="23"/>
      <c r="G430" s="23"/>
      <c r="H430" s="23"/>
      <c r="I430" s="23"/>
      <c r="J430" s="19"/>
      <c r="K430" s="23"/>
      <c r="L430" s="19"/>
      <c r="M430" s="23"/>
      <c r="N430" s="19"/>
      <c r="O430" s="23"/>
      <c r="P430" s="19"/>
      <c r="Q430" s="23"/>
      <c r="R430" s="6"/>
    </row>
    <row r="431" spans="1:18" s="3" customFormat="1" ht="13.5" customHeight="1">
      <c r="A431" s="19" t="s">
        <v>320</v>
      </c>
      <c r="B431" s="20" t="s">
        <v>13</v>
      </c>
      <c r="C431" s="21">
        <v>0</v>
      </c>
      <c r="D431" s="23"/>
      <c r="E431" s="21">
        <v>0</v>
      </c>
      <c r="F431" s="23"/>
      <c r="G431" s="21">
        <v>1294</v>
      </c>
      <c r="H431" s="23"/>
      <c r="I431" s="21">
        <v>0</v>
      </c>
      <c r="J431" s="19"/>
      <c r="K431" s="21">
        <f>IF(SUM(C431:I431)=SUM(M431:Q431),SUM(C431:I431),SUM(M431:Q431)-SUM(C431:I431))</f>
        <v>1294</v>
      </c>
      <c r="L431" s="19"/>
      <c r="M431" s="24">
        <v>0</v>
      </c>
      <c r="N431" s="19"/>
      <c r="O431" s="24">
        <v>1294</v>
      </c>
      <c r="P431" s="19"/>
      <c r="Q431" s="24">
        <v>0</v>
      </c>
      <c r="R431" s="6"/>
    </row>
    <row r="432" spans="1:18" s="3" customFormat="1" ht="13.5" customHeight="1">
      <c r="A432" s="19"/>
      <c r="B432" s="20"/>
      <c r="C432" s="23"/>
      <c r="D432" s="23"/>
      <c r="E432" s="23"/>
      <c r="F432" s="23"/>
      <c r="G432" s="23"/>
      <c r="H432" s="23"/>
      <c r="I432" s="23"/>
      <c r="J432" s="19"/>
      <c r="K432" s="23"/>
      <c r="L432" s="19"/>
      <c r="M432" s="23"/>
      <c r="N432" s="19"/>
      <c r="O432" s="23"/>
      <c r="P432" s="19"/>
      <c r="Q432" s="23"/>
      <c r="R432" s="6"/>
    </row>
    <row r="433" spans="1:18" s="3" customFormat="1" ht="13.5" customHeight="1">
      <c r="A433" s="19" t="s">
        <v>133</v>
      </c>
      <c r="B433" s="20" t="s">
        <v>13</v>
      </c>
      <c r="C433" s="24">
        <f>C315+C369+C415+C332+C336+C323+C361+C380+C388+C338+C420+C392+C394+C401+C429+C347+C342+C340+C431+C382+C403+C353+C378+C390+C386+C334+C407+C319+C405+C384</f>
        <v>10359636</v>
      </c>
      <c r="D433" s="23"/>
      <c r="E433" s="24">
        <f>E315+E369+E415+E332+E336+E323+E361+E380+E388+E338+E420+E392+E394+E401+E429+E347+E342+E340+E431+E382+E403+E353+E378+E390+E386+E334+E407+E319+E405+E384</f>
        <v>10683960</v>
      </c>
      <c r="F433" s="23"/>
      <c r="G433" s="24">
        <f>G315+G369+G415+G332+G336+G323+G361+G380+G388+G338+G420+G392+G394+G401+G429+G347+G342+G340+G431+G382+G403+G353+G378+G390+G386+G334+G407+G319+G405+G384</f>
        <v>1918833</v>
      </c>
      <c r="H433" s="23"/>
      <c r="I433" s="24">
        <f>I315+I369+I415+I332+I336+I323+I361+I380+I388+I338+I420+I392+I394+I401+I429+I347+I342+I340+I431+I382+I403+I353+I378+I390+I386+I334+I407+I319+I405+I384</f>
        <v>5749244</v>
      </c>
      <c r="J433" s="19"/>
      <c r="K433" s="24">
        <f>IF(SUM(C433:I433)=SUM(M433:Q433),SUM(C433:I433),SUM(M433:Q433)-SUM(C433:I433))</f>
        <v>28711673</v>
      </c>
      <c r="L433" s="19"/>
      <c r="M433" s="24">
        <f>M315+M369+M415+M332+M336+M323+M361+M380+M388+M338+M420+M392+M394+M401+M429+M347+M342+M340+M431+M382+M403+M353+M378+M390+M386+M334+M407+M319+M405+M384</f>
        <v>18022509</v>
      </c>
      <c r="N433" s="19"/>
      <c r="O433" s="24">
        <f>O315+O369+O415+O332+O336+O323+O361+O380+O388+O338+O420+O392+O394+O401+O429+O347+O342+O340+O431+O382+O403+O353+O378+O390+O386+O334+O407+O319+O405+O384</f>
        <v>6888097</v>
      </c>
      <c r="P433" s="19"/>
      <c r="Q433" s="24">
        <f>Q315+Q369+Q415+Q332+Q336+Q323+Q361+Q380+Q388+Q338+Q420+Q392+Q394+Q401+Q429+Q347+Q342+Q340+Q431+Q382+Q403+Q353+Q378+Q390+Q386+Q334+Q407+Q319+Q405+Q384</f>
        <v>3801067</v>
      </c>
      <c r="R433" s="6"/>
    </row>
    <row r="434" spans="1:18" s="3" customFormat="1" ht="13.5" customHeight="1">
      <c r="A434" s="19"/>
      <c r="B434" s="20" t="s">
        <v>13</v>
      </c>
      <c r="C434" s="19"/>
      <c r="D434" s="23"/>
      <c r="E434" s="19"/>
      <c r="F434" s="23"/>
      <c r="G434" s="19"/>
      <c r="H434" s="23"/>
      <c r="I434" s="19"/>
      <c r="J434" s="19"/>
      <c r="K434" s="19"/>
      <c r="L434" s="19"/>
      <c r="M434" s="19"/>
      <c r="N434" s="19"/>
      <c r="O434" s="19"/>
      <c r="P434" s="19"/>
      <c r="Q434" s="19"/>
      <c r="R434" s="6"/>
    </row>
    <row r="435" spans="1:18" s="3" customFormat="1" ht="13.5" customHeight="1">
      <c r="A435" s="19" t="s">
        <v>165</v>
      </c>
      <c r="B435" s="20" t="s">
        <v>13</v>
      </c>
      <c r="C435" s="19" t="s">
        <v>13</v>
      </c>
      <c r="D435" s="23"/>
      <c r="E435" s="19" t="s">
        <v>13</v>
      </c>
      <c r="F435" s="23"/>
      <c r="G435" s="19" t="s">
        <v>13</v>
      </c>
      <c r="H435" s="23"/>
      <c r="I435" s="19" t="s">
        <v>13</v>
      </c>
      <c r="J435" s="19"/>
      <c r="K435" s="19"/>
      <c r="L435" s="19"/>
      <c r="M435" s="19" t="s">
        <v>13</v>
      </c>
      <c r="N435" s="19"/>
      <c r="O435" s="19" t="s">
        <v>13</v>
      </c>
      <c r="P435" s="19"/>
      <c r="Q435" s="19" t="s">
        <v>13</v>
      </c>
      <c r="R435" s="6"/>
    </row>
    <row r="436" spans="1:18" s="3" customFormat="1" ht="13.5" customHeight="1">
      <c r="A436" s="19" t="s">
        <v>201</v>
      </c>
      <c r="B436" s="20"/>
      <c r="C436" s="21">
        <v>0</v>
      </c>
      <c r="D436" s="23"/>
      <c r="E436" s="21">
        <v>13732</v>
      </c>
      <c r="F436" s="23"/>
      <c r="G436" s="21">
        <v>0</v>
      </c>
      <c r="H436" s="23"/>
      <c r="I436" s="21">
        <v>2672252</v>
      </c>
      <c r="J436" s="19"/>
      <c r="K436" s="24">
        <f>IF(SUM(C436:I436)=SUM(M436:Q436),SUM(C436:I436),SUM(M436:Q436)-SUM(C436:I436))</f>
        <v>2685984</v>
      </c>
      <c r="L436" s="19"/>
      <c r="M436" s="24">
        <v>82400</v>
      </c>
      <c r="N436" s="19"/>
      <c r="O436" s="24">
        <v>2602725</v>
      </c>
      <c r="P436" s="19"/>
      <c r="Q436" s="24">
        <f>1+858</f>
        <v>859</v>
      </c>
      <c r="R436" s="6"/>
    </row>
    <row r="437" spans="1:18" s="3" customFormat="1" ht="13.5" customHeight="1">
      <c r="A437" s="19"/>
      <c r="B437" s="20"/>
      <c r="C437" s="23"/>
      <c r="D437" s="23"/>
      <c r="E437" s="23"/>
      <c r="F437" s="23"/>
      <c r="G437" s="23"/>
      <c r="H437" s="23"/>
      <c r="I437" s="23"/>
      <c r="J437" s="19"/>
      <c r="K437" s="23"/>
      <c r="L437" s="19"/>
      <c r="M437" s="23"/>
      <c r="N437" s="19"/>
      <c r="O437" s="23"/>
      <c r="P437" s="19"/>
      <c r="Q437" s="23"/>
      <c r="R437" s="6"/>
    </row>
    <row r="438" spans="1:18" s="3" customFormat="1" ht="13.5" customHeight="1">
      <c r="A438" s="19" t="s">
        <v>21</v>
      </c>
      <c r="B438" s="20" t="s">
        <v>13</v>
      </c>
      <c r="C438" s="19"/>
      <c r="D438" s="23"/>
      <c r="E438" s="19"/>
      <c r="F438" s="23"/>
      <c r="G438" s="19"/>
      <c r="H438" s="23"/>
      <c r="I438" s="19"/>
      <c r="J438" s="19"/>
      <c r="K438" s="19"/>
      <c r="L438" s="19"/>
      <c r="M438" s="19"/>
      <c r="N438" s="19"/>
      <c r="O438" s="19"/>
      <c r="P438" s="19"/>
      <c r="Q438" s="19"/>
      <c r="R438" s="6"/>
    </row>
    <row r="439" spans="1:18" s="3" customFormat="1" ht="13.5" customHeight="1">
      <c r="A439" s="19" t="s">
        <v>92</v>
      </c>
      <c r="B439" s="20" t="s">
        <v>13</v>
      </c>
      <c r="C439" s="19">
        <v>0</v>
      </c>
      <c r="D439" s="23"/>
      <c r="E439" s="19">
        <v>9842</v>
      </c>
      <c r="F439" s="23"/>
      <c r="G439" s="19">
        <v>468982</v>
      </c>
      <c r="H439" s="23"/>
      <c r="I439" s="19">
        <v>690579</v>
      </c>
      <c r="J439" s="19"/>
      <c r="K439" s="19">
        <f>IF(SUM(C439:I439)=SUM(M439:Q439),SUM(C439:I439),SUM(M439:Q439)-SUM(C439:I439))</f>
        <v>1169403</v>
      </c>
      <c r="L439" s="19"/>
      <c r="M439" s="19">
        <v>209027</v>
      </c>
      <c r="N439" s="19"/>
      <c r="O439" s="19">
        <v>957037</v>
      </c>
      <c r="P439" s="19"/>
      <c r="Q439" s="19">
        <v>3339</v>
      </c>
      <c r="R439" s="6"/>
    </row>
    <row r="440" spans="1:18" s="3" customFormat="1" ht="13.5" customHeight="1">
      <c r="A440" s="19" t="s">
        <v>93</v>
      </c>
      <c r="B440" s="20" t="s">
        <v>13</v>
      </c>
      <c r="C440" s="21">
        <v>0</v>
      </c>
      <c r="D440" s="23"/>
      <c r="E440" s="21">
        <v>0</v>
      </c>
      <c r="F440" s="23"/>
      <c r="G440" s="21">
        <v>32931</v>
      </c>
      <c r="H440" s="23"/>
      <c r="I440" s="21">
        <v>21207</v>
      </c>
      <c r="J440" s="19"/>
      <c r="K440" s="21">
        <f>IF(SUM(C440:I440)=SUM(M440:Q440),SUM(C440:I440),SUM(M440:Q440)-SUM(C440:I440))</f>
        <v>54138</v>
      </c>
      <c r="L440" s="19"/>
      <c r="M440" s="24">
        <v>47580</v>
      </c>
      <c r="N440" s="19"/>
      <c r="O440" s="24">
        <v>6558</v>
      </c>
      <c r="P440" s="19"/>
      <c r="Q440" s="24">
        <v>0</v>
      </c>
      <c r="R440" s="6"/>
    </row>
    <row r="441" spans="1:18" s="3" customFormat="1" ht="13.5" customHeight="1">
      <c r="A441" s="19" t="s">
        <v>134</v>
      </c>
      <c r="B441" s="20" t="s">
        <v>13</v>
      </c>
      <c r="C441" s="21">
        <f>SUM(C439:C440)</f>
        <v>0</v>
      </c>
      <c r="D441" s="23"/>
      <c r="E441" s="21">
        <f>SUM(E439:E440)</f>
        <v>9842</v>
      </c>
      <c r="F441" s="23"/>
      <c r="G441" s="21">
        <f>SUM(G439:G440)</f>
        <v>501913</v>
      </c>
      <c r="H441" s="23"/>
      <c r="I441" s="21">
        <f>SUM(I439:I440)</f>
        <v>711786</v>
      </c>
      <c r="J441" s="19"/>
      <c r="K441" s="22">
        <f>IF(SUM(C441:I441)=SUM(M441:Q441),SUM(C441:I441),SUM(M441:Q441)-SUM(C441:I441))</f>
        <v>1223541</v>
      </c>
      <c r="L441" s="19"/>
      <c r="M441" s="21">
        <f>SUM(M439:M440)</f>
        <v>256607</v>
      </c>
      <c r="N441" s="19"/>
      <c r="O441" s="21">
        <f>SUM(O439:O440)</f>
        <v>963595</v>
      </c>
      <c r="P441" s="19"/>
      <c r="Q441" s="21">
        <f>SUM(Q439:Q440)</f>
        <v>3339</v>
      </c>
      <c r="R441" s="6"/>
    </row>
    <row r="442" spans="1:18" s="3" customFormat="1" ht="13.5" customHeight="1">
      <c r="A442" s="19"/>
      <c r="B442" s="20" t="s">
        <v>13</v>
      </c>
      <c r="C442" s="19"/>
      <c r="D442" s="23"/>
      <c r="E442" s="19"/>
      <c r="F442" s="23"/>
      <c r="G442" s="19"/>
      <c r="H442" s="23"/>
      <c r="I442" s="19"/>
      <c r="J442" s="19"/>
      <c r="K442" s="19"/>
      <c r="L442" s="19"/>
      <c r="M442" s="19"/>
      <c r="N442" s="19"/>
      <c r="O442" s="19"/>
      <c r="P442" s="19"/>
      <c r="Q442" s="19"/>
      <c r="R442" s="6"/>
    </row>
    <row r="443" spans="1:18" s="3" customFormat="1" ht="13.5" customHeight="1">
      <c r="A443" s="19" t="s">
        <v>166</v>
      </c>
      <c r="B443" s="20"/>
      <c r="C443" s="21">
        <v>46728</v>
      </c>
      <c r="D443" s="23"/>
      <c r="E443" s="21">
        <v>0</v>
      </c>
      <c r="F443" s="23"/>
      <c r="G443" s="21">
        <v>431871</v>
      </c>
      <c r="H443" s="23"/>
      <c r="I443" s="21">
        <v>732566</v>
      </c>
      <c r="J443" s="19"/>
      <c r="K443" s="21">
        <f>IF(SUM(C443:I443)=SUM(M443:Q443),SUM(C443:I443),SUM(M443:Q443)-SUM(C443:I443))</f>
        <v>1211165</v>
      </c>
      <c r="L443" s="19"/>
      <c r="M443" s="24">
        <v>224129</v>
      </c>
      <c r="N443" s="19"/>
      <c r="O443" s="24">
        <v>987034</v>
      </c>
      <c r="P443" s="19"/>
      <c r="Q443" s="24">
        <v>2</v>
      </c>
      <c r="R443" s="6"/>
    </row>
    <row r="444" spans="1:18" s="3" customFormat="1" ht="13.5" customHeight="1">
      <c r="A444" s="19"/>
      <c r="B444" s="20"/>
      <c r="C444" s="19"/>
      <c r="D444" s="23"/>
      <c r="E444" s="19"/>
      <c r="F444" s="23"/>
      <c r="G444" s="19"/>
      <c r="H444" s="23"/>
      <c r="I444" s="19"/>
      <c r="J444" s="19"/>
      <c r="K444" s="19"/>
      <c r="L444" s="19"/>
      <c r="M444" s="19"/>
      <c r="N444" s="19"/>
      <c r="O444" s="19"/>
      <c r="P444" s="19"/>
      <c r="Q444" s="19"/>
      <c r="R444" s="6"/>
    </row>
    <row r="445" spans="1:18" s="3" customFormat="1" ht="13.5" customHeight="1">
      <c r="A445" s="19" t="s">
        <v>22</v>
      </c>
      <c r="B445" s="20" t="s">
        <v>13</v>
      </c>
      <c r="C445" s="19"/>
      <c r="D445" s="23"/>
      <c r="E445" s="19"/>
      <c r="F445" s="23"/>
      <c r="G445" s="19"/>
      <c r="H445" s="23"/>
      <c r="I445" s="19"/>
      <c r="J445" s="19"/>
      <c r="K445" s="19"/>
      <c r="L445" s="19"/>
      <c r="M445" s="19"/>
      <c r="N445" s="19"/>
      <c r="O445" s="19"/>
      <c r="P445" s="19"/>
      <c r="Q445" s="19"/>
      <c r="R445" s="6"/>
    </row>
    <row r="446" spans="1:18" s="3" customFormat="1" ht="13.5" customHeight="1">
      <c r="A446" s="19" t="s">
        <v>94</v>
      </c>
      <c r="B446" s="20" t="s">
        <v>13</v>
      </c>
      <c r="C446" s="19">
        <v>0</v>
      </c>
      <c r="D446" s="23"/>
      <c r="E446" s="19">
        <v>0</v>
      </c>
      <c r="F446" s="23"/>
      <c r="G446" s="19">
        <v>324673</v>
      </c>
      <c r="H446" s="23"/>
      <c r="I446" s="19">
        <v>170780</v>
      </c>
      <c r="J446" s="19"/>
      <c r="K446" s="19">
        <f>IF(SUM(C446:I446)=SUM(M446:Q446),SUM(C446:I446),SUM(M446:Q446)-SUM(C446:I446))</f>
        <v>495453</v>
      </c>
      <c r="L446" s="19"/>
      <c r="M446" s="19">
        <v>76072</v>
      </c>
      <c r="N446" s="19"/>
      <c r="O446" s="19">
        <f>1+419380</f>
        <v>419381</v>
      </c>
      <c r="P446" s="19"/>
      <c r="Q446" s="19">
        <v>0</v>
      </c>
      <c r="R446" s="6"/>
    </row>
    <row r="447" spans="1:18" s="3" customFormat="1" ht="13.5" customHeight="1">
      <c r="A447" s="19" t="s">
        <v>95</v>
      </c>
      <c r="B447" s="20" t="s">
        <v>13</v>
      </c>
      <c r="C447" s="21">
        <v>0</v>
      </c>
      <c r="D447" s="23"/>
      <c r="E447" s="21">
        <v>0</v>
      </c>
      <c r="F447" s="23"/>
      <c r="G447" s="21">
        <v>68833</v>
      </c>
      <c r="H447" s="23"/>
      <c r="I447" s="21">
        <v>-72000</v>
      </c>
      <c r="J447" s="19"/>
      <c r="K447" s="21">
        <f>IF(SUM(C447:I447)=SUM(M447:Q447),SUM(C447:I447),SUM(M447:Q447)-SUM(C447:I447))</f>
        <v>-3167</v>
      </c>
      <c r="L447" s="19"/>
      <c r="M447" s="24">
        <v>68673</v>
      </c>
      <c r="N447" s="19"/>
      <c r="O447" s="24">
        <v>-71840</v>
      </c>
      <c r="P447" s="19"/>
      <c r="Q447" s="24">
        <v>0</v>
      </c>
      <c r="R447" s="6"/>
    </row>
    <row r="448" spans="1:18" s="3" customFormat="1" ht="13.5" customHeight="1">
      <c r="A448" s="19" t="s">
        <v>135</v>
      </c>
      <c r="B448" s="20" t="s">
        <v>13</v>
      </c>
      <c r="C448" s="21">
        <f>SUM(C446:C447)</f>
        <v>0</v>
      </c>
      <c r="D448" s="23"/>
      <c r="E448" s="21">
        <f>SUM(E446:E447)</f>
        <v>0</v>
      </c>
      <c r="F448" s="23"/>
      <c r="G448" s="21">
        <f>SUM(G446:G447)</f>
        <v>393506</v>
      </c>
      <c r="H448" s="23"/>
      <c r="I448" s="21">
        <f>SUM(I446:I447)</f>
        <v>98780</v>
      </c>
      <c r="J448" s="19"/>
      <c r="K448" s="22">
        <f>IF(SUM(C448:I448)=SUM(M448:Q448),SUM(C448:I448),SUM(M448:Q448)-SUM(C448:I448))</f>
        <v>492286</v>
      </c>
      <c r="L448" s="19"/>
      <c r="M448" s="21">
        <f>SUM(M446:M447)</f>
        <v>144745</v>
      </c>
      <c r="N448" s="19"/>
      <c r="O448" s="21">
        <f>SUM(O446:O447)</f>
        <v>347541</v>
      </c>
      <c r="P448" s="19"/>
      <c r="Q448" s="21">
        <f>SUM(Q446:Q447)</f>
        <v>0</v>
      </c>
      <c r="R448" s="6"/>
    </row>
    <row r="449" spans="1:18" s="3" customFormat="1" ht="13.5" customHeight="1">
      <c r="A449" s="19"/>
      <c r="B449" s="20" t="s">
        <v>13</v>
      </c>
      <c r="C449" s="19"/>
      <c r="D449" s="23"/>
      <c r="E449" s="19"/>
      <c r="F449" s="23"/>
      <c r="G449" s="19"/>
      <c r="H449" s="23"/>
      <c r="I449" s="19"/>
      <c r="J449" s="19"/>
      <c r="K449" s="19"/>
      <c r="L449" s="19"/>
      <c r="M449" s="19"/>
      <c r="N449" s="19"/>
      <c r="O449" s="19"/>
      <c r="P449" s="19"/>
      <c r="Q449" s="19"/>
      <c r="R449" s="6"/>
    </row>
    <row r="450" spans="1:18" s="3" customFormat="1" ht="13.5" customHeight="1">
      <c r="A450" s="19" t="s">
        <v>174</v>
      </c>
      <c r="B450" s="20"/>
      <c r="C450" s="21">
        <v>0</v>
      </c>
      <c r="D450" s="23"/>
      <c r="E450" s="21">
        <v>15347</v>
      </c>
      <c r="F450" s="23"/>
      <c r="G450" s="21">
        <v>182935</v>
      </c>
      <c r="H450" s="23"/>
      <c r="I450" s="21">
        <v>7179</v>
      </c>
      <c r="J450" s="19"/>
      <c r="K450" s="21">
        <f>IF(SUM(C450:I450)=SUM(M450:Q450),SUM(C450:I450),SUM(M450:Q450)-SUM(C450:I450))</f>
        <v>205461</v>
      </c>
      <c r="L450" s="19"/>
      <c r="M450" s="24">
        <v>61182</v>
      </c>
      <c r="N450" s="19"/>
      <c r="O450" s="24">
        <v>143320</v>
      </c>
      <c r="P450" s="19"/>
      <c r="Q450" s="24">
        <v>959</v>
      </c>
      <c r="R450" s="6"/>
    </row>
    <row r="451" spans="1:18" s="3" customFormat="1" ht="13.5" customHeight="1">
      <c r="A451" s="19"/>
      <c r="B451" s="20"/>
      <c r="C451" s="19"/>
      <c r="D451" s="23"/>
      <c r="E451" s="19"/>
      <c r="F451" s="23"/>
      <c r="G451" s="19"/>
      <c r="H451" s="23"/>
      <c r="I451" s="19"/>
      <c r="J451" s="19"/>
      <c r="K451" s="19"/>
      <c r="L451" s="19"/>
      <c r="M451" s="19"/>
      <c r="N451" s="19"/>
      <c r="O451" s="19"/>
      <c r="P451" s="19"/>
      <c r="Q451" s="19"/>
      <c r="R451" s="6"/>
    </row>
    <row r="452" spans="1:18" s="3" customFormat="1" ht="13.5" customHeight="1">
      <c r="A452" s="19" t="s">
        <v>219</v>
      </c>
      <c r="B452" s="20" t="s">
        <v>13</v>
      </c>
      <c r="C452" s="21">
        <v>0</v>
      </c>
      <c r="D452" s="23"/>
      <c r="E452" s="21">
        <v>0</v>
      </c>
      <c r="F452" s="23"/>
      <c r="G452" s="21">
        <v>0</v>
      </c>
      <c r="H452" s="23"/>
      <c r="I452" s="21">
        <v>44618</v>
      </c>
      <c r="J452" s="19"/>
      <c r="K452" s="21">
        <f>IF(SUM(C452:I452)=SUM(M452:Q452),SUM(C452:I452),SUM(M452:Q452)-SUM(C452:I452))</f>
        <v>44618</v>
      </c>
      <c r="L452" s="19"/>
      <c r="M452" s="24">
        <v>44618</v>
      </c>
      <c r="N452" s="19"/>
      <c r="O452" s="24">
        <v>0</v>
      </c>
      <c r="P452" s="19"/>
      <c r="Q452" s="24">
        <v>0</v>
      </c>
      <c r="R452" s="6"/>
    </row>
    <row r="453" spans="1:18" s="3" customFormat="1" ht="13.5" customHeight="1">
      <c r="A453" s="19"/>
      <c r="B453" s="20"/>
      <c r="C453" s="19"/>
      <c r="D453" s="23"/>
      <c r="E453" s="19"/>
      <c r="F453" s="23"/>
      <c r="G453" s="19"/>
      <c r="H453" s="23"/>
      <c r="I453" s="19"/>
      <c r="J453" s="19"/>
      <c r="K453" s="19"/>
      <c r="L453" s="19"/>
      <c r="M453" s="19"/>
      <c r="N453" s="19"/>
      <c r="O453" s="19"/>
      <c r="P453" s="19"/>
      <c r="Q453" s="19"/>
      <c r="R453" s="6"/>
    </row>
    <row r="454" spans="1:18" s="3" customFormat="1" ht="13.5" customHeight="1">
      <c r="A454" s="19" t="s">
        <v>231</v>
      </c>
      <c r="B454" s="20"/>
      <c r="C454" s="21">
        <v>0</v>
      </c>
      <c r="D454" s="23"/>
      <c r="E454" s="21">
        <v>147</v>
      </c>
      <c r="F454" s="23"/>
      <c r="G454" s="21">
        <v>0</v>
      </c>
      <c r="H454" s="23"/>
      <c r="I454" s="21">
        <v>0</v>
      </c>
      <c r="J454" s="19"/>
      <c r="K454" s="24">
        <f>IF(SUM(C454:I454)=SUM(M454:Q454),SUM(C454:I454),SUM(M454:Q454)-SUM(C454:I454))</f>
        <v>147</v>
      </c>
      <c r="L454" s="19"/>
      <c r="M454" s="24">
        <v>138</v>
      </c>
      <c r="N454" s="19"/>
      <c r="O454" s="24">
        <v>0</v>
      </c>
      <c r="P454" s="19"/>
      <c r="Q454" s="24">
        <v>9</v>
      </c>
      <c r="R454" s="6"/>
    </row>
    <row r="455" spans="1:18" s="3" customFormat="1" ht="13.5" customHeight="1">
      <c r="A455" s="19"/>
      <c r="B455" s="20"/>
      <c r="C455" s="19"/>
      <c r="D455" s="23"/>
      <c r="E455" s="19"/>
      <c r="F455" s="23"/>
      <c r="G455" s="19"/>
      <c r="H455" s="23"/>
      <c r="I455" s="19"/>
      <c r="J455" s="19"/>
      <c r="K455" s="19"/>
      <c r="L455" s="19"/>
      <c r="M455" s="19"/>
      <c r="N455" s="19"/>
      <c r="O455" s="19"/>
      <c r="P455" s="19"/>
      <c r="Q455" s="19"/>
      <c r="R455" s="6"/>
    </row>
    <row r="456" spans="1:18" s="3" customFormat="1" ht="13.5" customHeight="1">
      <c r="A456" s="19" t="s">
        <v>239</v>
      </c>
      <c r="B456" s="20"/>
      <c r="C456" s="21">
        <v>0</v>
      </c>
      <c r="D456" s="23"/>
      <c r="E456" s="21">
        <v>0</v>
      </c>
      <c r="F456" s="23"/>
      <c r="G456" s="21">
        <v>185</v>
      </c>
      <c r="H456" s="23"/>
      <c r="I456" s="21">
        <v>0</v>
      </c>
      <c r="J456" s="19"/>
      <c r="K456" s="24">
        <f>IF(SUM(C456:I456)=SUM(M456:Q456),SUM(C456:I456),SUM(M456:Q456)-SUM(C456:I456))</f>
        <v>185</v>
      </c>
      <c r="L456" s="19"/>
      <c r="M456" s="24">
        <v>0</v>
      </c>
      <c r="N456" s="19"/>
      <c r="O456" s="24">
        <v>185</v>
      </c>
      <c r="P456" s="19"/>
      <c r="Q456" s="24">
        <v>0</v>
      </c>
      <c r="R456" s="6"/>
    </row>
    <row r="457" spans="1:18" s="3" customFormat="1" ht="13.5" customHeight="1">
      <c r="A457" s="19"/>
      <c r="B457" s="20"/>
      <c r="C457" s="19"/>
      <c r="D457" s="23"/>
      <c r="E457" s="19"/>
      <c r="F457" s="23"/>
      <c r="G457" s="19"/>
      <c r="H457" s="23"/>
      <c r="I457" s="19"/>
      <c r="J457" s="19"/>
      <c r="K457" s="19"/>
      <c r="L457" s="19"/>
      <c r="M457" s="19"/>
      <c r="N457" s="19"/>
      <c r="O457" s="19"/>
      <c r="P457" s="19"/>
      <c r="Q457" s="19"/>
      <c r="R457" s="6"/>
    </row>
    <row r="458" spans="1:18" s="3" customFormat="1" ht="13.5" customHeight="1">
      <c r="A458" s="19" t="s">
        <v>303</v>
      </c>
      <c r="B458" s="20"/>
      <c r="C458" s="24">
        <v>0</v>
      </c>
      <c r="D458" s="23"/>
      <c r="E458" s="24">
        <v>0</v>
      </c>
      <c r="F458" s="23"/>
      <c r="G458" s="24">
        <v>28748</v>
      </c>
      <c r="H458" s="23"/>
      <c r="I458" s="24">
        <v>0</v>
      </c>
      <c r="J458" s="19"/>
      <c r="K458" s="24">
        <f>IF(SUM(C458:I458)=SUM(M458:Q458),SUM(C458:I458),SUM(M458:Q458)-SUM(C458:I458))</f>
        <v>28748</v>
      </c>
      <c r="L458" s="19"/>
      <c r="M458" s="24">
        <v>23300</v>
      </c>
      <c r="N458" s="19"/>
      <c r="O458" s="24">
        <v>5448</v>
      </c>
      <c r="P458" s="19"/>
      <c r="Q458" s="24">
        <v>0</v>
      </c>
      <c r="R458" s="6"/>
    </row>
    <row r="459" spans="1:18" s="3" customFormat="1" ht="13.5" customHeight="1">
      <c r="A459" s="19"/>
      <c r="B459" s="20"/>
      <c r="C459" s="19"/>
      <c r="D459" s="23"/>
      <c r="E459" s="19"/>
      <c r="F459" s="23"/>
      <c r="G459" s="19"/>
      <c r="H459" s="23"/>
      <c r="I459" s="19"/>
      <c r="J459" s="19"/>
      <c r="K459" s="19"/>
      <c r="L459" s="19"/>
      <c r="M459" s="19"/>
      <c r="N459" s="19"/>
      <c r="O459" s="19"/>
      <c r="P459" s="19"/>
      <c r="Q459" s="19"/>
      <c r="R459" s="6"/>
    </row>
    <row r="460" spans="1:18" s="3" customFormat="1" ht="13.5" customHeight="1">
      <c r="A460" s="19" t="s">
        <v>304</v>
      </c>
      <c r="B460" s="20"/>
      <c r="C460" s="21">
        <v>0</v>
      </c>
      <c r="D460" s="23"/>
      <c r="E460" s="21">
        <v>0</v>
      </c>
      <c r="F460" s="23"/>
      <c r="G460" s="21">
        <v>0</v>
      </c>
      <c r="H460" s="23"/>
      <c r="I460" s="21">
        <v>2766054</v>
      </c>
      <c r="J460" s="19"/>
      <c r="K460" s="24">
        <f>IF(SUM(C460:I460)=SUM(M460:Q460),SUM(C460:I460),SUM(M460:Q460)-SUM(C460:I460))</f>
        <v>2766054</v>
      </c>
      <c r="L460" s="19"/>
      <c r="M460" s="24">
        <v>1039701</v>
      </c>
      <c r="N460" s="19"/>
      <c r="O460" s="24">
        <v>1726353</v>
      </c>
      <c r="P460" s="19"/>
      <c r="Q460" s="24">
        <v>0</v>
      </c>
      <c r="R460" s="6"/>
    </row>
    <row r="461" spans="1:18" s="3" customFormat="1" ht="13.5" customHeight="1">
      <c r="A461" s="19"/>
      <c r="B461" s="20"/>
      <c r="C461" s="19"/>
      <c r="D461" s="23"/>
      <c r="E461" s="19"/>
      <c r="F461" s="23"/>
      <c r="G461" s="19"/>
      <c r="H461" s="23"/>
      <c r="I461" s="19"/>
      <c r="J461" s="19"/>
      <c r="K461" s="19"/>
      <c r="L461" s="19"/>
      <c r="M461" s="19"/>
      <c r="N461" s="19"/>
      <c r="O461" s="19"/>
      <c r="P461" s="19"/>
      <c r="Q461" s="19"/>
      <c r="R461" s="6"/>
    </row>
    <row r="462" spans="1:18" s="3" customFormat="1" ht="13.5" customHeight="1">
      <c r="A462" s="19" t="s">
        <v>318</v>
      </c>
      <c r="B462" s="20"/>
      <c r="C462" s="21">
        <v>0</v>
      </c>
      <c r="D462" s="23"/>
      <c r="E462" s="21">
        <v>859</v>
      </c>
      <c r="F462" s="23"/>
      <c r="G462" s="21">
        <v>0</v>
      </c>
      <c r="H462" s="23"/>
      <c r="I462" s="21">
        <v>0</v>
      </c>
      <c r="J462" s="19"/>
      <c r="K462" s="24">
        <f>IF(SUM(C462:I462)=SUM(M462:Q462),SUM(C462:I462),SUM(M462:Q462)-SUM(C462:I462))</f>
        <v>859</v>
      </c>
      <c r="L462" s="19"/>
      <c r="M462" s="24">
        <v>805</v>
      </c>
      <c r="N462" s="19"/>
      <c r="O462" s="24">
        <v>0</v>
      </c>
      <c r="P462" s="19"/>
      <c r="Q462" s="24">
        <v>54</v>
      </c>
      <c r="R462" s="6"/>
    </row>
    <row r="463" spans="1:18" s="3" customFormat="1" ht="13.5" customHeight="1">
      <c r="A463" s="19"/>
      <c r="B463" s="20"/>
      <c r="C463" s="19"/>
      <c r="D463" s="23"/>
      <c r="E463" s="19"/>
      <c r="F463" s="23"/>
      <c r="G463" s="19"/>
      <c r="H463" s="23"/>
      <c r="I463" s="19"/>
      <c r="J463" s="19"/>
      <c r="K463" s="19"/>
      <c r="L463" s="19"/>
      <c r="M463" s="19"/>
      <c r="N463" s="19"/>
      <c r="O463" s="19"/>
      <c r="P463" s="19"/>
      <c r="Q463" s="19"/>
      <c r="R463" s="6"/>
    </row>
    <row r="464" spans="1:18" s="3" customFormat="1" ht="13.5" customHeight="1">
      <c r="A464" s="19" t="s">
        <v>289</v>
      </c>
      <c r="B464" s="20"/>
      <c r="C464" s="21">
        <v>0</v>
      </c>
      <c r="D464" s="23"/>
      <c r="E464" s="21">
        <v>0</v>
      </c>
      <c r="F464" s="23"/>
      <c r="G464" s="21">
        <v>0</v>
      </c>
      <c r="H464" s="23"/>
      <c r="I464" s="21">
        <v>284341</v>
      </c>
      <c r="J464" s="19"/>
      <c r="K464" s="24">
        <f>IF(SUM(C464:I464)=SUM(M464:Q464),SUM(C464:I464),SUM(M464:Q464)-SUM(C464:I464))</f>
        <v>284341</v>
      </c>
      <c r="L464" s="19"/>
      <c r="M464" s="24">
        <v>35385</v>
      </c>
      <c r="N464" s="19"/>
      <c r="O464" s="24">
        <v>248956</v>
      </c>
      <c r="P464" s="19"/>
      <c r="Q464" s="24">
        <v>0</v>
      </c>
      <c r="R464" s="6"/>
    </row>
    <row r="465" spans="1:18" s="3" customFormat="1" ht="13.5" customHeight="1">
      <c r="A465" s="19"/>
      <c r="B465" s="20"/>
      <c r="C465" s="19"/>
      <c r="D465" s="23"/>
      <c r="E465" s="19"/>
      <c r="F465" s="23"/>
      <c r="G465" s="19"/>
      <c r="H465" s="23"/>
      <c r="I465" s="19"/>
      <c r="J465" s="19"/>
      <c r="K465" s="19"/>
      <c r="L465" s="19"/>
      <c r="M465" s="19"/>
      <c r="N465" s="19"/>
      <c r="O465" s="19"/>
      <c r="P465" s="19"/>
      <c r="Q465" s="19"/>
      <c r="R465" s="6"/>
    </row>
    <row r="466" spans="1:18" s="3" customFormat="1" ht="13.5" customHeight="1">
      <c r="A466" s="19" t="s">
        <v>267</v>
      </c>
      <c r="B466" s="20"/>
      <c r="C466" s="19"/>
      <c r="D466" s="23"/>
      <c r="E466" s="19"/>
      <c r="F466" s="23"/>
      <c r="G466" s="19"/>
      <c r="H466" s="23"/>
      <c r="I466" s="19"/>
      <c r="J466" s="19"/>
      <c r="K466" s="19"/>
      <c r="L466" s="19"/>
      <c r="M466" s="19"/>
      <c r="N466" s="19"/>
      <c r="O466" s="19"/>
      <c r="P466" s="19"/>
      <c r="Q466" s="19"/>
      <c r="R466" s="6"/>
    </row>
    <row r="467" spans="1:18" s="3" customFormat="1" ht="13.5" customHeight="1">
      <c r="A467" s="19" t="s">
        <v>264</v>
      </c>
      <c r="B467" s="20"/>
      <c r="C467" s="23">
        <v>0</v>
      </c>
      <c r="D467" s="23"/>
      <c r="E467" s="23">
        <v>0</v>
      </c>
      <c r="F467" s="23"/>
      <c r="G467" s="23">
        <v>0</v>
      </c>
      <c r="H467" s="23"/>
      <c r="I467" s="23">
        <v>49849</v>
      </c>
      <c r="J467" s="19"/>
      <c r="K467" s="23">
        <f>IF(SUM(C467:I467)=SUM(M467:Q467),SUM(C467:I467),SUM(M467:Q467)-SUM(C467:I467))</f>
        <v>49849</v>
      </c>
      <c r="L467" s="19"/>
      <c r="M467" s="23">
        <v>49849</v>
      </c>
      <c r="N467" s="19"/>
      <c r="O467" s="23">
        <v>0</v>
      </c>
      <c r="P467" s="19"/>
      <c r="Q467" s="23">
        <v>0</v>
      </c>
      <c r="R467" s="6"/>
    </row>
    <row r="468" spans="1:18" s="3" customFormat="1" ht="13.5" customHeight="1">
      <c r="A468" s="19" t="s">
        <v>305</v>
      </c>
      <c r="B468" s="20"/>
      <c r="C468" s="24">
        <v>0</v>
      </c>
      <c r="D468" s="23"/>
      <c r="E468" s="24">
        <v>0</v>
      </c>
      <c r="F468" s="23"/>
      <c r="G468" s="24">
        <v>12382</v>
      </c>
      <c r="H468" s="23"/>
      <c r="I468" s="24">
        <v>0</v>
      </c>
      <c r="J468" s="19"/>
      <c r="K468" s="24">
        <f>IF(SUM(C468:I468)=SUM(M468:Q468),SUM(C468:I468),SUM(M468:Q468)-SUM(C468:I468))</f>
        <v>12382</v>
      </c>
      <c r="L468" s="19"/>
      <c r="M468" s="24">
        <v>1033</v>
      </c>
      <c r="N468" s="19"/>
      <c r="O468" s="24">
        <f>1+11348</f>
        <v>11349</v>
      </c>
      <c r="P468" s="19"/>
      <c r="Q468" s="24">
        <v>0</v>
      </c>
      <c r="R468" s="6"/>
    </row>
    <row r="469" spans="1:18" s="3" customFormat="1" ht="13.5" customHeight="1">
      <c r="A469" s="19" t="s">
        <v>263</v>
      </c>
      <c r="B469" s="20"/>
      <c r="C469" s="21">
        <f>SUM(C467:C468)</f>
        <v>0</v>
      </c>
      <c r="D469" s="23"/>
      <c r="E469" s="21">
        <f>SUM(E467:E468)</f>
        <v>0</v>
      </c>
      <c r="F469" s="23"/>
      <c r="G469" s="21">
        <f>SUM(G467:G468)</f>
        <v>12382</v>
      </c>
      <c r="H469" s="23"/>
      <c r="I469" s="21">
        <f>SUM(I467:I468)</f>
        <v>49849</v>
      </c>
      <c r="J469" s="19"/>
      <c r="K469" s="21">
        <f>IF(SUM(C469:I469)=SUM(M469:Q469),SUM(C469:I469),SUM(M469:Q469)-SUM(C469:I469))</f>
        <v>62231</v>
      </c>
      <c r="L469" s="19"/>
      <c r="M469" s="21">
        <f>SUM(M467:M468)</f>
        <v>50882</v>
      </c>
      <c r="N469" s="19"/>
      <c r="O469" s="21">
        <f>SUM(O467:O468)</f>
        <v>11349</v>
      </c>
      <c r="P469" s="19"/>
      <c r="Q469" s="21">
        <f>SUM(Q467:Q468)</f>
        <v>0</v>
      </c>
      <c r="R469" s="6"/>
    </row>
    <row r="470" spans="1:18" s="3" customFormat="1" ht="13.5" customHeight="1">
      <c r="A470" s="19"/>
      <c r="B470" s="20" t="s">
        <v>13</v>
      </c>
      <c r="C470" s="19"/>
      <c r="D470" s="23"/>
      <c r="E470" s="19"/>
      <c r="F470" s="23"/>
      <c r="G470" s="19"/>
      <c r="H470" s="23"/>
      <c r="I470" s="19"/>
      <c r="J470" s="19"/>
      <c r="K470" s="19"/>
      <c r="L470" s="19"/>
      <c r="M470" s="19"/>
      <c r="N470" s="19"/>
      <c r="O470" s="19"/>
      <c r="P470" s="19"/>
      <c r="Q470" s="19"/>
      <c r="R470" s="6"/>
    </row>
    <row r="471" spans="1:18" s="3" customFormat="1" ht="13.5" customHeight="1">
      <c r="A471" s="19" t="s">
        <v>23</v>
      </c>
      <c r="B471" s="20" t="s">
        <v>13</v>
      </c>
      <c r="C471" s="19"/>
      <c r="D471" s="23"/>
      <c r="E471" s="19"/>
      <c r="F471" s="23"/>
      <c r="G471" s="19"/>
      <c r="H471" s="23"/>
      <c r="I471" s="19"/>
      <c r="J471" s="19"/>
      <c r="K471" s="19"/>
      <c r="L471" s="19"/>
      <c r="M471" s="19"/>
      <c r="N471" s="19"/>
      <c r="O471" s="19"/>
      <c r="P471" s="19"/>
      <c r="Q471" s="19"/>
      <c r="R471" s="6"/>
    </row>
    <row r="472" spans="1:18" s="3" customFormat="1" ht="13.5" customHeight="1">
      <c r="A472" s="19" t="s">
        <v>96</v>
      </c>
      <c r="B472" s="20" t="s">
        <v>13</v>
      </c>
      <c r="C472" s="19">
        <v>0</v>
      </c>
      <c r="D472" s="23"/>
      <c r="E472" s="19">
        <v>0</v>
      </c>
      <c r="F472" s="23"/>
      <c r="G472" s="19">
        <v>79215</v>
      </c>
      <c r="H472" s="23"/>
      <c r="I472" s="19">
        <v>0</v>
      </c>
      <c r="J472" s="19"/>
      <c r="K472" s="19">
        <f aca="true" t="shared" si="21" ref="K472:K488">IF(SUM(C472:I472)=SUM(M472:Q472),SUM(C472:I472),SUM(M472:Q472)-SUM(C472:I472))</f>
        <v>79215</v>
      </c>
      <c r="L472" s="19"/>
      <c r="M472" s="19">
        <v>63475</v>
      </c>
      <c r="N472" s="19"/>
      <c r="O472" s="19">
        <f>1+15739</f>
        <v>15740</v>
      </c>
      <c r="P472" s="19"/>
      <c r="Q472" s="19">
        <v>0</v>
      </c>
      <c r="R472" s="6"/>
    </row>
    <row r="473" spans="1:18" s="3" customFormat="1" ht="13.5" customHeight="1">
      <c r="A473" s="19" t="s">
        <v>97</v>
      </c>
      <c r="B473" s="20" t="s">
        <v>13</v>
      </c>
      <c r="C473" s="19">
        <v>0</v>
      </c>
      <c r="D473" s="23"/>
      <c r="E473" s="19">
        <v>0</v>
      </c>
      <c r="F473" s="23"/>
      <c r="G473" s="19">
        <v>123335</v>
      </c>
      <c r="H473" s="23"/>
      <c r="I473" s="19">
        <v>0</v>
      </c>
      <c r="J473" s="19"/>
      <c r="K473" s="19">
        <f t="shared" si="21"/>
        <v>123335</v>
      </c>
      <c r="L473" s="19"/>
      <c r="M473" s="19">
        <v>114826</v>
      </c>
      <c r="N473" s="19"/>
      <c r="O473" s="19">
        <v>8509</v>
      </c>
      <c r="P473" s="19"/>
      <c r="Q473" s="19">
        <v>0</v>
      </c>
      <c r="R473" s="6"/>
    </row>
    <row r="474" spans="1:18" s="3" customFormat="1" ht="13.5" customHeight="1">
      <c r="A474" s="19" t="s">
        <v>243</v>
      </c>
      <c r="B474" s="20" t="s">
        <v>13</v>
      </c>
      <c r="C474" s="19">
        <v>0</v>
      </c>
      <c r="D474" s="23"/>
      <c r="E474" s="19">
        <v>0</v>
      </c>
      <c r="F474" s="23"/>
      <c r="G474" s="19">
        <v>17056</v>
      </c>
      <c r="H474" s="23"/>
      <c r="I474" s="19">
        <v>-848</v>
      </c>
      <c r="J474" s="19"/>
      <c r="K474" s="19">
        <f t="shared" si="21"/>
        <v>16208</v>
      </c>
      <c r="L474" s="19"/>
      <c r="M474" s="19">
        <v>5639</v>
      </c>
      <c r="N474" s="19"/>
      <c r="O474" s="19">
        <v>10569</v>
      </c>
      <c r="P474" s="19"/>
      <c r="Q474" s="19">
        <v>0</v>
      </c>
      <c r="R474" s="6"/>
    </row>
    <row r="475" spans="1:18" s="3" customFormat="1" ht="13.5" customHeight="1">
      <c r="A475" s="19" t="s">
        <v>252</v>
      </c>
      <c r="B475" s="20" t="s">
        <v>13</v>
      </c>
      <c r="C475" s="19">
        <v>0</v>
      </c>
      <c r="D475" s="23"/>
      <c r="E475" s="19">
        <v>0</v>
      </c>
      <c r="F475" s="23"/>
      <c r="G475" s="19">
        <v>427107</v>
      </c>
      <c r="H475" s="23"/>
      <c r="I475" s="19">
        <v>51945</v>
      </c>
      <c r="J475" s="19"/>
      <c r="K475" s="19">
        <f t="shared" si="21"/>
        <v>479052</v>
      </c>
      <c r="L475" s="19"/>
      <c r="M475" s="19">
        <v>215442</v>
      </c>
      <c r="N475" s="19"/>
      <c r="O475" s="19">
        <v>263610</v>
      </c>
      <c r="P475" s="19"/>
      <c r="Q475" s="19">
        <v>0</v>
      </c>
      <c r="R475" s="6"/>
    </row>
    <row r="476" spans="1:18" s="3" customFormat="1" ht="13.5" customHeight="1">
      <c r="A476" s="19" t="s">
        <v>306</v>
      </c>
      <c r="B476" s="20"/>
      <c r="C476" s="19">
        <v>0</v>
      </c>
      <c r="D476" s="23"/>
      <c r="E476" s="19">
        <v>0</v>
      </c>
      <c r="F476" s="23"/>
      <c r="G476" s="19">
        <v>0</v>
      </c>
      <c r="H476" s="23"/>
      <c r="I476" s="19">
        <v>59404</v>
      </c>
      <c r="J476" s="19"/>
      <c r="K476" s="19">
        <f t="shared" si="21"/>
        <v>59404</v>
      </c>
      <c r="L476" s="19"/>
      <c r="M476" s="19">
        <v>29243</v>
      </c>
      <c r="N476" s="19"/>
      <c r="O476" s="19">
        <v>30161</v>
      </c>
      <c r="P476" s="19"/>
      <c r="Q476" s="19">
        <v>0</v>
      </c>
      <c r="R476" s="6"/>
    </row>
    <row r="477" spans="1:18" s="3" customFormat="1" ht="13.5" customHeight="1">
      <c r="A477" s="19" t="s">
        <v>114</v>
      </c>
      <c r="B477" s="20"/>
      <c r="C477" s="19">
        <v>0</v>
      </c>
      <c r="D477" s="23"/>
      <c r="E477" s="19">
        <v>0</v>
      </c>
      <c r="F477" s="23"/>
      <c r="G477" s="19">
        <v>154649</v>
      </c>
      <c r="H477" s="23"/>
      <c r="I477" s="19">
        <v>27577</v>
      </c>
      <c r="J477" s="19"/>
      <c r="K477" s="19">
        <f t="shared" si="21"/>
        <v>182226</v>
      </c>
      <c r="L477" s="19"/>
      <c r="M477" s="19">
        <v>72871</v>
      </c>
      <c r="N477" s="19"/>
      <c r="O477" s="19">
        <v>109355</v>
      </c>
      <c r="P477" s="19"/>
      <c r="Q477" s="19">
        <v>0</v>
      </c>
      <c r="R477" s="6"/>
    </row>
    <row r="478" spans="1:18" s="3" customFormat="1" ht="13.5" customHeight="1">
      <c r="A478" s="19" t="s">
        <v>99</v>
      </c>
      <c r="B478" s="20" t="s">
        <v>13</v>
      </c>
      <c r="C478" s="19">
        <v>0</v>
      </c>
      <c r="D478" s="23"/>
      <c r="E478" s="19">
        <v>3779</v>
      </c>
      <c r="F478" s="23"/>
      <c r="G478" s="19">
        <v>6266</v>
      </c>
      <c r="H478" s="23"/>
      <c r="I478" s="19">
        <v>-1150</v>
      </c>
      <c r="J478" s="19"/>
      <c r="K478" s="19">
        <f t="shared" si="21"/>
        <v>8895</v>
      </c>
      <c r="L478" s="19"/>
      <c r="M478" s="19">
        <v>7629</v>
      </c>
      <c r="N478" s="19"/>
      <c r="O478" s="19">
        <v>1030</v>
      </c>
      <c r="P478" s="19"/>
      <c r="Q478" s="19">
        <v>236</v>
      </c>
      <c r="R478" s="6"/>
    </row>
    <row r="479" spans="1:18" s="3" customFormat="1" ht="13.5" customHeight="1">
      <c r="A479" s="19" t="s">
        <v>244</v>
      </c>
      <c r="B479" s="20"/>
      <c r="C479" s="19">
        <v>0</v>
      </c>
      <c r="D479" s="23"/>
      <c r="E479" s="19">
        <v>0</v>
      </c>
      <c r="F479" s="23"/>
      <c r="G479" s="19">
        <v>9025</v>
      </c>
      <c r="H479" s="23"/>
      <c r="I479" s="19">
        <v>0</v>
      </c>
      <c r="J479" s="19"/>
      <c r="K479" s="19">
        <f t="shared" si="21"/>
        <v>9025</v>
      </c>
      <c r="L479" s="19"/>
      <c r="M479" s="19">
        <v>0</v>
      </c>
      <c r="N479" s="19"/>
      <c r="O479" s="19">
        <v>9025</v>
      </c>
      <c r="P479" s="19"/>
      <c r="Q479" s="19">
        <v>0</v>
      </c>
      <c r="R479" s="6"/>
    </row>
    <row r="480" spans="1:18" s="3" customFormat="1" ht="13.5" customHeight="1">
      <c r="A480" s="19" t="s">
        <v>278</v>
      </c>
      <c r="B480" s="20"/>
      <c r="C480" s="19">
        <v>0</v>
      </c>
      <c r="D480" s="23"/>
      <c r="E480" s="19">
        <v>0</v>
      </c>
      <c r="F480" s="23"/>
      <c r="G480" s="19">
        <v>77784</v>
      </c>
      <c r="H480" s="23"/>
      <c r="I480" s="19">
        <v>347277</v>
      </c>
      <c r="J480" s="19"/>
      <c r="K480" s="19">
        <f t="shared" si="21"/>
        <v>425061</v>
      </c>
      <c r="L480" s="19"/>
      <c r="M480" s="19">
        <v>145668</v>
      </c>
      <c r="N480" s="19"/>
      <c r="O480" s="19">
        <f>-1+279394</f>
        <v>279393</v>
      </c>
      <c r="P480" s="19"/>
      <c r="Q480" s="19">
        <v>0</v>
      </c>
      <c r="R480" s="6"/>
    </row>
    <row r="481" spans="1:18" s="3" customFormat="1" ht="13.5" customHeight="1">
      <c r="A481" s="19" t="s">
        <v>279</v>
      </c>
      <c r="B481" s="20" t="s">
        <v>13</v>
      </c>
      <c r="C481" s="19">
        <v>0</v>
      </c>
      <c r="D481" s="23"/>
      <c r="E481" s="19">
        <v>1110</v>
      </c>
      <c r="F481" s="23"/>
      <c r="G481" s="19">
        <v>43516</v>
      </c>
      <c r="H481" s="23"/>
      <c r="I481" s="19">
        <v>1669870</v>
      </c>
      <c r="J481" s="19"/>
      <c r="K481" s="19">
        <f t="shared" si="21"/>
        <v>1714496</v>
      </c>
      <c r="L481" s="19"/>
      <c r="M481" s="19">
        <v>402246</v>
      </c>
      <c r="N481" s="19"/>
      <c r="O481" s="19">
        <v>1312182</v>
      </c>
      <c r="P481" s="19"/>
      <c r="Q481" s="19">
        <f>-1+69</f>
        <v>68</v>
      </c>
      <c r="R481" s="6"/>
    </row>
    <row r="482" spans="1:18" s="3" customFormat="1" ht="13.5" customHeight="1">
      <c r="A482" s="19" t="s">
        <v>100</v>
      </c>
      <c r="B482" s="20" t="s">
        <v>13</v>
      </c>
      <c r="C482" s="19">
        <v>0</v>
      </c>
      <c r="D482" s="23"/>
      <c r="E482" s="19">
        <v>0</v>
      </c>
      <c r="F482" s="23"/>
      <c r="G482" s="19">
        <v>9870</v>
      </c>
      <c r="H482" s="23"/>
      <c r="I482" s="19">
        <v>575</v>
      </c>
      <c r="J482" s="19"/>
      <c r="K482" s="19">
        <f t="shared" si="21"/>
        <v>10445</v>
      </c>
      <c r="L482" s="19"/>
      <c r="M482" s="19">
        <v>575</v>
      </c>
      <c r="N482" s="19"/>
      <c r="O482" s="19">
        <v>9870</v>
      </c>
      <c r="P482" s="19"/>
      <c r="Q482" s="19">
        <v>0</v>
      </c>
      <c r="R482" s="6"/>
    </row>
    <row r="483" spans="1:18" s="3" customFormat="1" ht="13.5" customHeight="1">
      <c r="A483" s="19" t="s">
        <v>101</v>
      </c>
      <c r="B483" s="20" t="s">
        <v>13</v>
      </c>
      <c r="C483" s="19">
        <v>0</v>
      </c>
      <c r="D483" s="23"/>
      <c r="E483" s="19">
        <v>0</v>
      </c>
      <c r="F483" s="23"/>
      <c r="G483" s="19">
        <v>447461</v>
      </c>
      <c r="H483" s="23"/>
      <c r="I483" s="19">
        <v>21763</v>
      </c>
      <c r="J483" s="19"/>
      <c r="K483" s="19">
        <f t="shared" si="21"/>
        <v>469224</v>
      </c>
      <c r="L483" s="19"/>
      <c r="M483" s="19">
        <v>114231</v>
      </c>
      <c r="N483" s="19"/>
      <c r="O483" s="19">
        <v>354993</v>
      </c>
      <c r="P483" s="19"/>
      <c r="Q483" s="19">
        <v>0</v>
      </c>
      <c r="R483" s="6"/>
    </row>
    <row r="484" spans="1:18" s="3" customFormat="1" ht="13.5" customHeight="1">
      <c r="A484" s="19" t="s">
        <v>102</v>
      </c>
      <c r="B484" s="20" t="s">
        <v>13</v>
      </c>
      <c r="C484" s="19">
        <v>0</v>
      </c>
      <c r="D484" s="23"/>
      <c r="E484" s="19">
        <v>0</v>
      </c>
      <c r="F484" s="23"/>
      <c r="G484" s="19">
        <v>0</v>
      </c>
      <c r="H484" s="23"/>
      <c r="I484" s="19">
        <v>15860</v>
      </c>
      <c r="J484" s="19"/>
      <c r="K484" s="19">
        <f t="shared" si="21"/>
        <v>15860</v>
      </c>
      <c r="L484" s="19"/>
      <c r="M484" s="19">
        <v>58137</v>
      </c>
      <c r="N484" s="19"/>
      <c r="O484" s="19">
        <v>-42277</v>
      </c>
      <c r="P484" s="19"/>
      <c r="Q484" s="19">
        <v>0</v>
      </c>
      <c r="R484" s="6"/>
    </row>
    <row r="485" spans="1:18" s="3" customFormat="1" ht="13.5" customHeight="1">
      <c r="A485" s="19" t="s">
        <v>245</v>
      </c>
      <c r="B485" s="20"/>
      <c r="C485" s="19">
        <v>0</v>
      </c>
      <c r="D485" s="23"/>
      <c r="E485" s="19">
        <v>0</v>
      </c>
      <c r="F485" s="23"/>
      <c r="G485" s="19">
        <v>133426</v>
      </c>
      <c r="H485" s="23"/>
      <c r="I485" s="19">
        <v>1863</v>
      </c>
      <c r="J485" s="19"/>
      <c r="K485" s="19">
        <f t="shared" si="21"/>
        <v>135289</v>
      </c>
      <c r="L485" s="19"/>
      <c r="M485" s="19">
        <v>119978</v>
      </c>
      <c r="N485" s="19"/>
      <c r="O485" s="19">
        <v>15311</v>
      </c>
      <c r="P485" s="19"/>
      <c r="Q485" s="19">
        <v>0</v>
      </c>
      <c r="R485" s="6"/>
    </row>
    <row r="486" spans="1:18" s="3" customFormat="1" ht="13.5" customHeight="1">
      <c r="A486" s="19" t="s">
        <v>103</v>
      </c>
      <c r="B486" s="20" t="s">
        <v>13</v>
      </c>
      <c r="C486" s="19">
        <v>3800</v>
      </c>
      <c r="D486" s="23"/>
      <c r="E486" s="19">
        <v>0</v>
      </c>
      <c r="F486" s="23"/>
      <c r="G486" s="19">
        <v>18667</v>
      </c>
      <c r="H486" s="23"/>
      <c r="I486" s="19">
        <v>10324</v>
      </c>
      <c r="J486" s="19"/>
      <c r="K486" s="19">
        <f t="shared" si="21"/>
        <v>32791</v>
      </c>
      <c r="L486" s="19"/>
      <c r="M486" s="19">
        <v>10138</v>
      </c>
      <c r="N486" s="19"/>
      <c r="O486" s="19">
        <f>1+22652</f>
        <v>22653</v>
      </c>
      <c r="P486" s="19"/>
      <c r="Q486" s="19">
        <v>0</v>
      </c>
      <c r="R486" s="6"/>
    </row>
    <row r="487" spans="1:18" s="3" customFormat="1" ht="13.5" customHeight="1">
      <c r="A487" s="19" t="s">
        <v>104</v>
      </c>
      <c r="B487" s="20"/>
      <c r="C487" s="21">
        <v>0</v>
      </c>
      <c r="D487" s="23"/>
      <c r="E487" s="21">
        <v>0</v>
      </c>
      <c r="F487" s="23"/>
      <c r="G487" s="21">
        <v>2307</v>
      </c>
      <c r="H487" s="23"/>
      <c r="I487" s="21">
        <v>0</v>
      </c>
      <c r="J487" s="19"/>
      <c r="K487" s="19">
        <f t="shared" si="21"/>
        <v>2307</v>
      </c>
      <c r="L487" s="19"/>
      <c r="M487" s="24">
        <v>538</v>
      </c>
      <c r="N487" s="19"/>
      <c r="O487" s="24">
        <v>1769</v>
      </c>
      <c r="P487" s="19"/>
      <c r="Q487" s="24">
        <v>0</v>
      </c>
      <c r="R487" s="6"/>
    </row>
    <row r="488" spans="1:18" s="3" customFormat="1" ht="13.5" customHeight="1">
      <c r="A488" s="19" t="s">
        <v>136</v>
      </c>
      <c r="B488" s="20" t="s">
        <v>13</v>
      </c>
      <c r="C488" s="21">
        <f>SUM(C472:C487)</f>
        <v>3800</v>
      </c>
      <c r="D488" s="23"/>
      <c r="E488" s="21">
        <f>SUM(E472:E487)</f>
        <v>4889</v>
      </c>
      <c r="F488" s="23"/>
      <c r="G488" s="21">
        <f>SUM(G472:G487)</f>
        <v>1549684</v>
      </c>
      <c r="H488" s="23"/>
      <c r="I488" s="21">
        <f>SUM(I472:I487)</f>
        <v>2204460</v>
      </c>
      <c r="J488" s="19"/>
      <c r="K488" s="22">
        <f t="shared" si="21"/>
        <v>3762833</v>
      </c>
      <c r="L488" s="19"/>
      <c r="M488" s="21">
        <f>SUM(M472:M487)</f>
        <v>1360636</v>
      </c>
      <c r="N488" s="19"/>
      <c r="O488" s="21">
        <f>SUM(O472:O487)</f>
        <v>2401893</v>
      </c>
      <c r="P488" s="19"/>
      <c r="Q488" s="21">
        <f>SUM(Q472:Q487)</f>
        <v>304</v>
      </c>
      <c r="R488" s="6"/>
    </row>
    <row r="489" spans="1:18" s="3" customFormat="1" ht="13.5" customHeight="1">
      <c r="A489" s="19"/>
      <c r="B489" s="20" t="s">
        <v>13</v>
      </c>
      <c r="C489" s="19"/>
      <c r="D489" s="23"/>
      <c r="E489" s="19"/>
      <c r="F489" s="23"/>
      <c r="G489" s="19"/>
      <c r="H489" s="23"/>
      <c r="I489" s="19"/>
      <c r="J489" s="19"/>
      <c r="K489" s="19"/>
      <c r="L489" s="19"/>
      <c r="M489" s="19"/>
      <c r="N489" s="19"/>
      <c r="O489" s="19"/>
      <c r="P489" s="19"/>
      <c r="Q489" s="19"/>
      <c r="R489" s="6"/>
    </row>
    <row r="490" spans="1:18" s="3" customFormat="1" ht="13.5" customHeight="1">
      <c r="A490" s="19" t="s">
        <v>137</v>
      </c>
      <c r="B490" s="26" t="s">
        <v>13</v>
      </c>
      <c r="C490" s="21">
        <f>C441+C448+C460+C454+C488+C469+C443+C450+C452+C436+C464+C458+C462+C456</f>
        <v>50528</v>
      </c>
      <c r="D490" s="23"/>
      <c r="E490" s="21">
        <f>E441+E448+E460+E454+E488+E469+E443+E450+E452+E436+E464+E458+E462+E456</f>
        <v>44816</v>
      </c>
      <c r="F490" s="23"/>
      <c r="G490" s="21">
        <f>G441+G448+G460+G454+G488+G469+G443+G450+G452+G436+G464+G458+G462+G456</f>
        <v>3101224</v>
      </c>
      <c r="H490" s="23"/>
      <c r="I490" s="21">
        <f>I441+I448+I460+I454+I488+I469+I443+I450+I452+I436+I464+I458+I462+I456</f>
        <v>9571885</v>
      </c>
      <c r="J490" s="23"/>
      <c r="K490" s="21">
        <f>IF(SUM(C490:I490)=SUM(M490:Q490),SUM(C490:I490),SUM(M490:Q490)-SUM(C490:I490))</f>
        <v>12768453</v>
      </c>
      <c r="L490" s="19"/>
      <c r="M490" s="21">
        <f>M441+M448+M460+M454+M488+M469+M443+M450+M452+M436+M464+M458+M462+M456</f>
        <v>3324528</v>
      </c>
      <c r="N490" s="23"/>
      <c r="O490" s="21">
        <f>O441+O448+O460+O454+O488+O469+O443+O450+O452+O436+O464+O458+O462+O456</f>
        <v>9438399</v>
      </c>
      <c r="P490" s="23"/>
      <c r="Q490" s="21">
        <f>Q441+Q448+Q460+Q454+Q488+Q469+Q443+Q450+Q452+Q436+Q464+Q458+Q462+Q456</f>
        <v>5526</v>
      </c>
      <c r="R490" s="6"/>
    </row>
    <row r="491" spans="1:18" s="3" customFormat="1" ht="13.5" customHeight="1">
      <c r="A491" s="19"/>
      <c r="B491" s="20" t="s">
        <v>13</v>
      </c>
      <c r="C491" s="19"/>
      <c r="D491" s="23"/>
      <c r="E491" s="19"/>
      <c r="F491" s="23"/>
      <c r="G491" s="19"/>
      <c r="H491" s="23"/>
      <c r="I491" s="19"/>
      <c r="J491" s="19"/>
      <c r="K491" s="19"/>
      <c r="L491" s="19"/>
      <c r="M491" s="19"/>
      <c r="N491" s="19"/>
      <c r="O491" s="19"/>
      <c r="P491" s="19"/>
      <c r="Q491" s="19"/>
      <c r="R491" s="6"/>
    </row>
    <row r="492" spans="1:18" s="3" customFormat="1" ht="13.5" customHeight="1">
      <c r="A492" s="19" t="s">
        <v>167</v>
      </c>
      <c r="B492" s="20" t="s">
        <v>13</v>
      </c>
      <c r="C492" s="19" t="s">
        <v>13</v>
      </c>
      <c r="D492" s="23"/>
      <c r="E492" s="19" t="s">
        <v>13</v>
      </c>
      <c r="F492" s="23"/>
      <c r="G492" s="19" t="s">
        <v>13</v>
      </c>
      <c r="H492" s="23"/>
      <c r="I492" s="19" t="s">
        <v>13</v>
      </c>
      <c r="J492" s="19"/>
      <c r="K492" s="19"/>
      <c r="L492" s="19"/>
      <c r="M492" s="19" t="s">
        <v>13</v>
      </c>
      <c r="N492" s="19"/>
      <c r="O492" s="19" t="s">
        <v>13</v>
      </c>
      <c r="P492" s="19"/>
      <c r="Q492" s="19" t="s">
        <v>13</v>
      </c>
      <c r="R492" s="6"/>
    </row>
    <row r="493" spans="1:18" s="3" customFormat="1" ht="13.5" customHeight="1">
      <c r="A493" s="19"/>
      <c r="B493" s="20"/>
      <c r="C493" s="19"/>
      <c r="D493" s="23"/>
      <c r="E493" s="19"/>
      <c r="F493" s="23"/>
      <c r="G493" s="19"/>
      <c r="H493" s="23"/>
      <c r="I493" s="19"/>
      <c r="J493" s="19"/>
      <c r="K493" s="19"/>
      <c r="L493" s="19"/>
      <c r="M493" s="19"/>
      <c r="N493" s="19"/>
      <c r="O493" s="19"/>
      <c r="P493" s="19"/>
      <c r="Q493" s="19"/>
      <c r="R493" s="6"/>
    </row>
    <row r="494" spans="1:18" s="3" customFormat="1" ht="13.5" customHeight="1">
      <c r="A494" s="19" t="s">
        <v>105</v>
      </c>
      <c r="B494" s="20"/>
      <c r="C494" s="21">
        <v>0</v>
      </c>
      <c r="D494" s="23"/>
      <c r="E494" s="21">
        <v>45792</v>
      </c>
      <c r="F494" s="23"/>
      <c r="G494" s="21">
        <v>34677</v>
      </c>
      <c r="H494" s="23"/>
      <c r="I494" s="21">
        <v>302818</v>
      </c>
      <c r="J494" s="19"/>
      <c r="K494" s="21">
        <f>IF(SUM(C494:I494)=SUM(M494:Q494),SUM(C494:I494),SUM(M494:Q494)-SUM(C494:I494))</f>
        <v>383287</v>
      </c>
      <c r="L494" s="19"/>
      <c r="M494" s="24">
        <v>77607</v>
      </c>
      <c r="N494" s="19"/>
      <c r="O494" s="24">
        <v>302818</v>
      </c>
      <c r="P494" s="19"/>
      <c r="Q494" s="24">
        <v>2862</v>
      </c>
      <c r="R494" s="6"/>
    </row>
    <row r="495" spans="1:18" s="3" customFormat="1" ht="13.5" customHeight="1">
      <c r="A495" s="19"/>
      <c r="B495" s="20"/>
      <c r="C495" s="19"/>
      <c r="D495" s="23"/>
      <c r="E495" s="19"/>
      <c r="F495" s="23"/>
      <c r="G495" s="19"/>
      <c r="H495" s="23"/>
      <c r="I495" s="19"/>
      <c r="J495" s="19"/>
      <c r="K495" s="19"/>
      <c r="L495" s="19"/>
      <c r="M495" s="19"/>
      <c r="N495" s="19"/>
      <c r="O495" s="19"/>
      <c r="P495" s="19"/>
      <c r="Q495" s="19"/>
      <c r="R495" s="6"/>
    </row>
    <row r="496" spans="1:18" s="3" customFormat="1" ht="13.5" customHeight="1">
      <c r="A496" s="19" t="s">
        <v>213</v>
      </c>
      <c r="B496" s="20" t="s">
        <v>13</v>
      </c>
      <c r="C496" s="21">
        <v>0</v>
      </c>
      <c r="D496" s="23"/>
      <c r="E496" s="21">
        <v>0</v>
      </c>
      <c r="F496" s="23"/>
      <c r="G496" s="21">
        <v>0</v>
      </c>
      <c r="H496" s="23"/>
      <c r="I496" s="21">
        <v>135140</v>
      </c>
      <c r="J496" s="19"/>
      <c r="K496" s="21">
        <f>IF(SUM(C496:I496)=SUM(M496:Q496),SUM(C496:I496),SUM(M496:Q496)-SUM(C496:I496))</f>
        <v>135140</v>
      </c>
      <c r="L496" s="19"/>
      <c r="M496" s="24">
        <v>133656</v>
      </c>
      <c r="N496" s="19"/>
      <c r="O496" s="24">
        <f>-1+1485</f>
        <v>1484</v>
      </c>
      <c r="P496" s="19"/>
      <c r="Q496" s="24">
        <v>0</v>
      </c>
      <c r="R496" s="6"/>
    </row>
    <row r="497" spans="1:18" s="3" customFormat="1" ht="13.5" customHeight="1">
      <c r="A497" s="19"/>
      <c r="B497" s="20" t="s">
        <v>13</v>
      </c>
      <c r="C497" s="19"/>
      <c r="D497" s="23"/>
      <c r="E497" s="19"/>
      <c r="F497" s="23"/>
      <c r="G497" s="19"/>
      <c r="H497" s="23"/>
      <c r="I497" s="19"/>
      <c r="J497" s="19"/>
      <c r="K497" s="19"/>
      <c r="L497" s="19"/>
      <c r="M497" s="19"/>
      <c r="N497" s="19"/>
      <c r="O497" s="19"/>
      <c r="P497" s="19"/>
      <c r="Q497" s="19"/>
      <c r="R497" s="6"/>
    </row>
    <row r="498" spans="1:18" s="3" customFormat="1" ht="13.5" customHeight="1">
      <c r="A498" s="19" t="s">
        <v>199</v>
      </c>
      <c r="B498" s="20" t="s">
        <v>13</v>
      </c>
      <c r="C498" s="21">
        <v>0</v>
      </c>
      <c r="D498" s="23"/>
      <c r="E498" s="21">
        <v>0</v>
      </c>
      <c r="F498" s="23"/>
      <c r="G498" s="21">
        <v>0</v>
      </c>
      <c r="H498" s="23"/>
      <c r="I498" s="21">
        <v>1034813</v>
      </c>
      <c r="J498" s="19"/>
      <c r="K498" s="21">
        <f>IF(SUM(C498:I498)=SUM(M498:Q498),SUM(C498:I498),SUM(M498:Q498)-SUM(C498:I498))</f>
        <v>1034813</v>
      </c>
      <c r="L498" s="19"/>
      <c r="M498" s="24">
        <v>576313</v>
      </c>
      <c r="N498" s="19"/>
      <c r="O498" s="24">
        <v>458500</v>
      </c>
      <c r="P498" s="19"/>
      <c r="Q498" s="24">
        <v>0</v>
      </c>
      <c r="R498" s="6"/>
    </row>
    <row r="499" spans="1:18" s="3" customFormat="1" ht="13.5" customHeight="1">
      <c r="A499" s="19"/>
      <c r="B499" s="20"/>
      <c r="C499" s="23"/>
      <c r="D499" s="23"/>
      <c r="E499" s="23"/>
      <c r="F499" s="23"/>
      <c r="G499" s="23"/>
      <c r="H499" s="23"/>
      <c r="I499" s="23"/>
      <c r="J499" s="19"/>
      <c r="K499" s="19"/>
      <c r="L499" s="19"/>
      <c r="M499" s="23"/>
      <c r="N499" s="19"/>
      <c r="O499" s="23"/>
      <c r="P499" s="19"/>
      <c r="Q499" s="23"/>
      <c r="R499" s="6"/>
    </row>
    <row r="500" spans="1:18" s="3" customFormat="1" ht="13.5" customHeight="1">
      <c r="A500" s="19" t="s">
        <v>106</v>
      </c>
      <c r="B500" s="20" t="s">
        <v>13</v>
      </c>
      <c r="C500" s="21">
        <v>0</v>
      </c>
      <c r="D500" s="23"/>
      <c r="E500" s="21">
        <v>7257</v>
      </c>
      <c r="F500" s="23"/>
      <c r="G500" s="21">
        <v>0</v>
      </c>
      <c r="H500" s="23"/>
      <c r="I500" s="21">
        <v>0</v>
      </c>
      <c r="J500" s="19"/>
      <c r="K500" s="21">
        <f>IF(SUM(C500:I500)=SUM(M500:Q500),SUM(C500:I500),SUM(M500:Q500)-SUM(C500:I500))</f>
        <v>7257</v>
      </c>
      <c r="L500" s="19"/>
      <c r="M500" s="24">
        <v>1389</v>
      </c>
      <c r="N500" s="19"/>
      <c r="O500" s="24">
        <v>5776</v>
      </c>
      <c r="P500" s="19"/>
      <c r="Q500" s="24">
        <f>-1+93</f>
        <v>92</v>
      </c>
      <c r="R500" s="6"/>
    </row>
    <row r="501" spans="1:18" s="3" customFormat="1" ht="13.5" customHeight="1">
      <c r="A501" s="19"/>
      <c r="B501" s="20"/>
      <c r="C501" s="23"/>
      <c r="D501" s="23"/>
      <c r="E501" s="23"/>
      <c r="F501" s="23"/>
      <c r="G501" s="23"/>
      <c r="H501" s="23"/>
      <c r="I501" s="23"/>
      <c r="J501" s="19"/>
      <c r="K501" s="23"/>
      <c r="L501" s="19"/>
      <c r="M501" s="23"/>
      <c r="N501" s="19"/>
      <c r="O501" s="23"/>
      <c r="P501" s="19"/>
      <c r="Q501" s="23"/>
      <c r="R501" s="6"/>
    </row>
    <row r="502" spans="1:18" s="3" customFormat="1" ht="13.5" customHeight="1">
      <c r="A502" s="19" t="s">
        <v>228</v>
      </c>
      <c r="B502" s="20"/>
      <c r="C502" s="21">
        <v>0</v>
      </c>
      <c r="D502" s="23"/>
      <c r="E502" s="21">
        <v>336445</v>
      </c>
      <c r="F502" s="23"/>
      <c r="G502" s="21">
        <v>75</v>
      </c>
      <c r="H502" s="23"/>
      <c r="I502" s="21">
        <v>0</v>
      </c>
      <c r="J502" s="19"/>
      <c r="K502" s="21">
        <f>IF(SUM(C502:I502)=SUM(M502:Q502),SUM(C502:I502),SUM(M502:Q502)-SUM(C502:I502))</f>
        <v>336520</v>
      </c>
      <c r="L502" s="19"/>
      <c r="M502" s="24">
        <v>179870</v>
      </c>
      <c r="N502" s="19"/>
      <c r="O502" s="24">
        <v>75</v>
      </c>
      <c r="P502" s="19"/>
      <c r="Q502" s="24">
        <f>-1+156576</f>
        <v>156575</v>
      </c>
      <c r="R502" s="6"/>
    </row>
    <row r="503" spans="1:18" s="3" customFormat="1" ht="13.5" customHeight="1">
      <c r="A503" s="19"/>
      <c r="B503" s="20" t="s">
        <v>13</v>
      </c>
      <c r="C503" s="19"/>
      <c r="D503" s="23"/>
      <c r="E503" s="19">
        <v>0</v>
      </c>
      <c r="F503" s="23"/>
      <c r="G503" s="19"/>
      <c r="H503" s="23"/>
      <c r="I503" s="19"/>
      <c r="J503" s="19"/>
      <c r="K503" s="19"/>
      <c r="L503" s="19"/>
      <c r="M503" s="19"/>
      <c r="N503" s="19"/>
      <c r="O503" s="19"/>
      <c r="P503" s="19"/>
      <c r="Q503" s="19"/>
      <c r="R503" s="6"/>
    </row>
    <row r="504" spans="1:18" s="3" customFormat="1" ht="13.5" customHeight="1">
      <c r="A504" s="19" t="s">
        <v>24</v>
      </c>
      <c r="B504" s="20" t="s">
        <v>13</v>
      </c>
      <c r="C504" s="19"/>
      <c r="D504" s="23"/>
      <c r="E504" s="19"/>
      <c r="F504" s="23"/>
      <c r="G504" s="19"/>
      <c r="H504" s="23"/>
      <c r="I504" s="19"/>
      <c r="J504" s="19"/>
      <c r="K504" s="19"/>
      <c r="L504" s="19"/>
      <c r="M504" s="19"/>
      <c r="N504" s="19"/>
      <c r="O504" s="19"/>
      <c r="P504" s="19"/>
      <c r="Q504" s="19"/>
      <c r="R504" s="6"/>
    </row>
    <row r="505" spans="1:18" s="3" customFormat="1" ht="13.5" customHeight="1">
      <c r="A505" s="19" t="s">
        <v>107</v>
      </c>
      <c r="B505" s="20" t="s">
        <v>13</v>
      </c>
      <c r="C505" s="21">
        <v>0</v>
      </c>
      <c r="D505" s="23"/>
      <c r="E505" s="21">
        <v>60000</v>
      </c>
      <c r="F505" s="23"/>
      <c r="G505" s="21">
        <v>48181</v>
      </c>
      <c r="H505" s="23"/>
      <c r="I505" s="21">
        <v>442701</v>
      </c>
      <c r="J505" s="19"/>
      <c r="K505" s="21">
        <f aca="true" t="shared" si="22" ref="K505:K572">IF(SUM(C505:I505)=SUM(M505:Q505),SUM(C505:I505),SUM(M505:Q505)-SUM(C505:I505))</f>
        <v>550882</v>
      </c>
      <c r="L505" s="19"/>
      <c r="M505" s="24">
        <v>245890</v>
      </c>
      <c r="N505" s="19"/>
      <c r="O505" s="24">
        <v>304992</v>
      </c>
      <c r="P505" s="19"/>
      <c r="Q505" s="24">
        <v>0</v>
      </c>
      <c r="R505" s="6"/>
    </row>
    <row r="506" spans="1:18" s="3" customFormat="1" ht="13.5" customHeight="1">
      <c r="A506" s="19"/>
      <c r="B506" s="20" t="s">
        <v>13</v>
      </c>
      <c r="C506" s="19"/>
      <c r="D506" s="23"/>
      <c r="E506" s="19"/>
      <c r="F506" s="23"/>
      <c r="G506" s="19"/>
      <c r="H506" s="23"/>
      <c r="I506" s="19"/>
      <c r="J506" s="19"/>
      <c r="K506" s="19"/>
      <c r="L506" s="19"/>
      <c r="M506" s="19"/>
      <c r="N506" s="19"/>
      <c r="O506" s="19"/>
      <c r="P506" s="19"/>
      <c r="Q506" s="19"/>
      <c r="R506" s="6"/>
    </row>
    <row r="507" spans="1:18" s="3" customFormat="1" ht="13.5" customHeight="1">
      <c r="A507" s="19" t="s">
        <v>25</v>
      </c>
      <c r="B507" s="20" t="s">
        <v>13</v>
      </c>
      <c r="C507" s="19"/>
      <c r="D507" s="23"/>
      <c r="E507" s="19"/>
      <c r="F507" s="23"/>
      <c r="G507" s="19"/>
      <c r="H507" s="23"/>
      <c r="I507" s="19"/>
      <c r="J507" s="19"/>
      <c r="K507" s="19"/>
      <c r="L507" s="19"/>
      <c r="M507" s="19"/>
      <c r="N507" s="19"/>
      <c r="O507" s="19"/>
      <c r="P507" s="19"/>
      <c r="Q507" s="19"/>
      <c r="R507" s="6"/>
    </row>
    <row r="508" spans="1:18" s="3" customFormat="1" ht="13.5" customHeight="1">
      <c r="A508" s="19" t="s">
        <v>192</v>
      </c>
      <c r="B508" s="20" t="s">
        <v>13</v>
      </c>
      <c r="C508" s="19">
        <v>0</v>
      </c>
      <c r="D508" s="23"/>
      <c r="E508" s="19">
        <v>0</v>
      </c>
      <c r="F508" s="23"/>
      <c r="G508" s="19">
        <v>64624</v>
      </c>
      <c r="H508" s="23"/>
      <c r="I508" s="19">
        <v>342672</v>
      </c>
      <c r="J508" s="19"/>
      <c r="K508" s="19">
        <f t="shared" si="22"/>
        <v>407296</v>
      </c>
      <c r="L508" s="19"/>
      <c r="M508" s="19">
        <v>224112</v>
      </c>
      <c r="N508" s="19"/>
      <c r="O508" s="19">
        <v>183184</v>
      </c>
      <c r="P508" s="19"/>
      <c r="Q508" s="19">
        <v>0</v>
      </c>
      <c r="R508" s="6"/>
    </row>
    <row r="509" spans="1:18" s="3" customFormat="1" ht="13.5" customHeight="1">
      <c r="A509" s="19" t="s">
        <v>108</v>
      </c>
      <c r="B509" s="20" t="s">
        <v>13</v>
      </c>
      <c r="C509" s="19">
        <v>0</v>
      </c>
      <c r="D509" s="23"/>
      <c r="E509" s="19">
        <v>0</v>
      </c>
      <c r="F509" s="23"/>
      <c r="G509" s="19">
        <v>192</v>
      </c>
      <c r="H509" s="23"/>
      <c r="I509" s="19">
        <v>51070</v>
      </c>
      <c r="J509" s="19"/>
      <c r="K509" s="19">
        <f t="shared" si="22"/>
        <v>51262</v>
      </c>
      <c r="L509" s="19"/>
      <c r="M509" s="19">
        <v>12966</v>
      </c>
      <c r="N509" s="19"/>
      <c r="O509" s="19">
        <v>38296</v>
      </c>
      <c r="P509" s="19"/>
      <c r="Q509" s="19">
        <v>0</v>
      </c>
      <c r="R509" s="6"/>
    </row>
    <row r="510" spans="1:18" s="3" customFormat="1" ht="13.5" customHeight="1">
      <c r="A510" s="19" t="s">
        <v>97</v>
      </c>
      <c r="B510" s="20"/>
      <c r="C510" s="19">
        <v>0</v>
      </c>
      <c r="D510" s="23"/>
      <c r="E510" s="19">
        <v>0</v>
      </c>
      <c r="F510" s="23"/>
      <c r="G510" s="19">
        <v>380</v>
      </c>
      <c r="H510" s="23"/>
      <c r="I510" s="19">
        <v>0</v>
      </c>
      <c r="J510" s="19"/>
      <c r="K510" s="19">
        <f t="shared" si="22"/>
        <v>380</v>
      </c>
      <c r="L510" s="19"/>
      <c r="M510" s="19">
        <v>0</v>
      </c>
      <c r="N510" s="19"/>
      <c r="O510" s="19">
        <v>380</v>
      </c>
      <c r="P510" s="19"/>
      <c r="Q510" s="19">
        <v>0</v>
      </c>
      <c r="R510" s="6"/>
    </row>
    <row r="511" spans="1:18" s="3" customFormat="1" ht="13.5" customHeight="1">
      <c r="A511" s="19" t="s">
        <v>252</v>
      </c>
      <c r="B511" s="20"/>
      <c r="C511" s="19">
        <v>0</v>
      </c>
      <c r="D511" s="23"/>
      <c r="E511" s="19">
        <v>0</v>
      </c>
      <c r="F511" s="23"/>
      <c r="G511" s="19">
        <v>11964</v>
      </c>
      <c r="H511" s="23"/>
      <c r="I511" s="19">
        <v>0</v>
      </c>
      <c r="J511" s="19"/>
      <c r="K511" s="19">
        <f t="shared" si="22"/>
        <v>11964</v>
      </c>
      <c r="L511" s="19"/>
      <c r="M511" s="19">
        <v>9450</v>
      </c>
      <c r="N511" s="19"/>
      <c r="O511" s="19">
        <v>2514</v>
      </c>
      <c r="P511" s="19"/>
      <c r="Q511" s="19">
        <v>0</v>
      </c>
      <c r="R511" s="6"/>
    </row>
    <row r="512" spans="1:18" s="3" customFormat="1" ht="13.5" customHeight="1">
      <c r="A512" s="19" t="s">
        <v>220</v>
      </c>
      <c r="B512" s="20"/>
      <c r="C512" s="19">
        <v>0</v>
      </c>
      <c r="D512" s="23"/>
      <c r="E512" s="19">
        <v>0</v>
      </c>
      <c r="F512" s="23"/>
      <c r="G512" s="19">
        <v>41912</v>
      </c>
      <c r="H512" s="23"/>
      <c r="I512" s="19">
        <v>1396263</v>
      </c>
      <c r="J512" s="19"/>
      <c r="K512" s="19">
        <f t="shared" si="22"/>
        <v>1438175</v>
      </c>
      <c r="L512" s="19"/>
      <c r="M512" s="19">
        <v>726080</v>
      </c>
      <c r="N512" s="19"/>
      <c r="O512" s="19">
        <v>712095</v>
      </c>
      <c r="P512" s="19"/>
      <c r="Q512" s="19">
        <v>0</v>
      </c>
      <c r="R512" s="6"/>
    </row>
    <row r="513" spans="1:18" s="3" customFormat="1" ht="13.5" customHeight="1">
      <c r="A513" s="19" t="s">
        <v>200</v>
      </c>
      <c r="B513" s="20"/>
      <c r="C513" s="19">
        <v>0</v>
      </c>
      <c r="D513" s="23"/>
      <c r="E513" s="19">
        <v>0</v>
      </c>
      <c r="F513" s="23"/>
      <c r="G513" s="19">
        <v>0</v>
      </c>
      <c r="H513" s="23"/>
      <c r="I513" s="19">
        <v>116847</v>
      </c>
      <c r="J513" s="19"/>
      <c r="K513" s="19">
        <f t="shared" si="22"/>
        <v>116847</v>
      </c>
      <c r="L513" s="19"/>
      <c r="M513" s="19">
        <v>50155</v>
      </c>
      <c r="N513" s="19"/>
      <c r="O513" s="19">
        <v>66692</v>
      </c>
      <c r="P513" s="19"/>
      <c r="Q513" s="19">
        <v>0</v>
      </c>
      <c r="R513" s="6"/>
    </row>
    <row r="514" spans="1:18" s="3" customFormat="1" ht="13.5" customHeight="1">
      <c r="A514" s="19" t="s">
        <v>146</v>
      </c>
      <c r="B514" s="20" t="s">
        <v>13</v>
      </c>
      <c r="C514" s="19">
        <v>0</v>
      </c>
      <c r="D514" s="23"/>
      <c r="E514" s="19">
        <v>0</v>
      </c>
      <c r="F514" s="23"/>
      <c r="G514" s="19">
        <v>15893</v>
      </c>
      <c r="H514" s="23"/>
      <c r="I514" s="19">
        <v>624316</v>
      </c>
      <c r="J514" s="19"/>
      <c r="K514" s="19">
        <f t="shared" si="22"/>
        <v>640209</v>
      </c>
      <c r="L514" s="19"/>
      <c r="M514" s="19">
        <v>446285</v>
      </c>
      <c r="N514" s="19"/>
      <c r="O514" s="19">
        <f>1+193923</f>
        <v>193924</v>
      </c>
      <c r="P514" s="19"/>
      <c r="Q514" s="19">
        <v>0</v>
      </c>
      <c r="R514" s="6"/>
    </row>
    <row r="515" spans="1:18" s="3" customFormat="1" ht="13.5" customHeight="1">
      <c r="A515" s="19" t="s">
        <v>114</v>
      </c>
      <c r="B515" s="20"/>
      <c r="C515" s="19">
        <v>0</v>
      </c>
      <c r="D515" s="23"/>
      <c r="E515" s="19">
        <v>0</v>
      </c>
      <c r="F515" s="23"/>
      <c r="G515" s="19">
        <v>80181</v>
      </c>
      <c r="H515" s="23"/>
      <c r="I515" s="19">
        <v>0</v>
      </c>
      <c r="J515" s="19"/>
      <c r="K515" s="19">
        <f t="shared" si="22"/>
        <v>80181</v>
      </c>
      <c r="L515" s="19"/>
      <c r="M515" s="19">
        <v>0</v>
      </c>
      <c r="N515" s="19"/>
      <c r="O515" s="19">
        <v>80181</v>
      </c>
      <c r="P515" s="19"/>
      <c r="Q515" s="19">
        <v>0</v>
      </c>
      <c r="R515" s="6"/>
    </row>
    <row r="516" spans="1:18" s="3" customFormat="1" ht="13.5" customHeight="1">
      <c r="A516" s="19" t="s">
        <v>109</v>
      </c>
      <c r="B516" s="20" t="s">
        <v>13</v>
      </c>
      <c r="C516" s="19">
        <v>0</v>
      </c>
      <c r="D516" s="23"/>
      <c r="E516" s="19">
        <v>0</v>
      </c>
      <c r="F516" s="23"/>
      <c r="G516" s="19">
        <v>1780</v>
      </c>
      <c r="H516" s="23"/>
      <c r="I516" s="19">
        <v>54279</v>
      </c>
      <c r="J516" s="19"/>
      <c r="K516" s="19">
        <f t="shared" si="22"/>
        <v>56059</v>
      </c>
      <c r="L516" s="19"/>
      <c r="M516" s="19">
        <v>22878</v>
      </c>
      <c r="N516" s="19"/>
      <c r="O516" s="19">
        <v>33181</v>
      </c>
      <c r="P516" s="19"/>
      <c r="Q516" s="19">
        <v>0</v>
      </c>
      <c r="R516" s="6"/>
    </row>
    <row r="517" spans="1:18" s="3" customFormat="1" ht="13.5" customHeight="1">
      <c r="A517" s="19" t="s">
        <v>321</v>
      </c>
      <c r="B517" s="20"/>
      <c r="C517" s="19">
        <v>0</v>
      </c>
      <c r="D517" s="23"/>
      <c r="E517" s="19">
        <v>0</v>
      </c>
      <c r="F517" s="23"/>
      <c r="G517" s="19">
        <v>0</v>
      </c>
      <c r="H517" s="23"/>
      <c r="I517" s="19">
        <v>-16848</v>
      </c>
      <c r="J517" s="19"/>
      <c r="K517" s="19">
        <f t="shared" si="22"/>
        <v>-16848</v>
      </c>
      <c r="L517" s="19"/>
      <c r="M517" s="19">
        <v>0</v>
      </c>
      <c r="N517" s="19"/>
      <c r="O517" s="19">
        <v>-16848</v>
      </c>
      <c r="P517" s="19"/>
      <c r="Q517" s="19">
        <v>0</v>
      </c>
      <c r="R517" s="6"/>
    </row>
    <row r="518" spans="1:18" s="3" customFormat="1" ht="13.5" customHeight="1">
      <c r="A518" s="19" t="s">
        <v>101</v>
      </c>
      <c r="B518" s="20"/>
      <c r="C518" s="19">
        <v>0</v>
      </c>
      <c r="D518" s="23"/>
      <c r="E518" s="19">
        <v>0</v>
      </c>
      <c r="F518" s="23"/>
      <c r="G518" s="19">
        <v>33</v>
      </c>
      <c r="H518" s="23"/>
      <c r="I518" s="19">
        <v>0</v>
      </c>
      <c r="J518" s="19"/>
      <c r="K518" s="19">
        <f t="shared" si="22"/>
        <v>33</v>
      </c>
      <c r="L518" s="19"/>
      <c r="M518" s="19">
        <v>0</v>
      </c>
      <c r="N518" s="19"/>
      <c r="O518" s="19">
        <v>33</v>
      </c>
      <c r="P518" s="19"/>
      <c r="Q518" s="19">
        <v>0</v>
      </c>
      <c r="R518" s="6"/>
    </row>
    <row r="519" spans="1:18" s="3" customFormat="1" ht="13.5" customHeight="1">
      <c r="A519" s="19" t="s">
        <v>245</v>
      </c>
      <c r="B519" s="20"/>
      <c r="C519" s="19">
        <v>0</v>
      </c>
      <c r="D519" s="23"/>
      <c r="E519" s="19">
        <v>0</v>
      </c>
      <c r="F519" s="23"/>
      <c r="G519" s="19">
        <v>51687</v>
      </c>
      <c r="H519" s="23"/>
      <c r="I519" s="19">
        <v>0</v>
      </c>
      <c r="J519" s="19"/>
      <c r="K519" s="19">
        <f t="shared" si="22"/>
        <v>51687</v>
      </c>
      <c r="L519" s="19"/>
      <c r="M519" s="19">
        <v>40500</v>
      </c>
      <c r="N519" s="19"/>
      <c r="O519" s="19">
        <v>11187</v>
      </c>
      <c r="P519" s="19"/>
      <c r="Q519" s="19">
        <v>0</v>
      </c>
      <c r="R519" s="6"/>
    </row>
    <row r="520" spans="1:18" s="3" customFormat="1" ht="13.5" customHeight="1">
      <c r="A520" s="19" t="s">
        <v>110</v>
      </c>
      <c r="B520" s="20" t="s">
        <v>13</v>
      </c>
      <c r="C520" s="19">
        <v>0</v>
      </c>
      <c r="D520" s="23"/>
      <c r="E520" s="19">
        <v>79883</v>
      </c>
      <c r="F520" s="23"/>
      <c r="G520" s="19">
        <v>7825</v>
      </c>
      <c r="H520" s="23"/>
      <c r="I520" s="19">
        <v>750675</v>
      </c>
      <c r="J520" s="19"/>
      <c r="K520" s="19">
        <f t="shared" si="22"/>
        <v>838383</v>
      </c>
      <c r="L520" s="19"/>
      <c r="M520" s="19">
        <v>111001</v>
      </c>
      <c r="N520" s="19"/>
      <c r="O520" s="19">
        <v>722388</v>
      </c>
      <c r="P520" s="19"/>
      <c r="Q520" s="19">
        <f>1+4993</f>
        <v>4994</v>
      </c>
      <c r="R520" s="6"/>
    </row>
    <row r="521" spans="1:18" s="3" customFormat="1" ht="13.5" customHeight="1">
      <c r="A521" s="19" t="s">
        <v>175</v>
      </c>
      <c r="B521" s="20" t="s">
        <v>13</v>
      </c>
      <c r="C521" s="21">
        <v>0</v>
      </c>
      <c r="D521" s="23"/>
      <c r="E521" s="21">
        <v>0</v>
      </c>
      <c r="F521" s="23"/>
      <c r="G521" s="21">
        <v>15083</v>
      </c>
      <c r="H521" s="23"/>
      <c r="I521" s="21">
        <v>3165946</v>
      </c>
      <c r="J521" s="19"/>
      <c r="K521" s="21">
        <f t="shared" si="22"/>
        <v>3181029</v>
      </c>
      <c r="L521" s="19"/>
      <c r="M521" s="24">
        <v>2228247</v>
      </c>
      <c r="N521" s="19"/>
      <c r="O521" s="24">
        <v>952782</v>
      </c>
      <c r="P521" s="19"/>
      <c r="Q521" s="24">
        <v>0</v>
      </c>
      <c r="R521" s="6"/>
    </row>
    <row r="522" spans="1:18" s="3" customFormat="1" ht="13.5" customHeight="1">
      <c r="A522" s="19" t="s">
        <v>142</v>
      </c>
      <c r="B522" s="20" t="s">
        <v>13</v>
      </c>
      <c r="C522" s="21">
        <f>SUM(C508:C521)</f>
        <v>0</v>
      </c>
      <c r="D522" s="23"/>
      <c r="E522" s="21">
        <f>SUM(E508:E521)</f>
        <v>79883</v>
      </c>
      <c r="F522" s="23"/>
      <c r="G522" s="21">
        <f>SUM(G508:G521)</f>
        <v>291554</v>
      </c>
      <c r="H522" s="23"/>
      <c r="I522" s="21">
        <f>SUM(I508:I521)</f>
        <v>6485220</v>
      </c>
      <c r="J522" s="19"/>
      <c r="K522" s="22">
        <f t="shared" si="22"/>
        <v>6856657</v>
      </c>
      <c r="L522" s="19"/>
      <c r="M522" s="21">
        <f>SUM(M508:M521)</f>
        <v>3871674</v>
      </c>
      <c r="N522" s="19"/>
      <c r="O522" s="21">
        <f>SUM(O508:O521)</f>
        <v>2979989</v>
      </c>
      <c r="P522" s="19"/>
      <c r="Q522" s="21">
        <f>SUM(Q508:Q521)</f>
        <v>4994</v>
      </c>
      <c r="R522" s="6"/>
    </row>
    <row r="523" spans="1:18" s="3" customFormat="1" ht="13.5" customHeight="1">
      <c r="A523" s="19"/>
      <c r="B523" s="20"/>
      <c r="C523" s="23"/>
      <c r="D523" s="23"/>
      <c r="E523" s="23"/>
      <c r="F523" s="23"/>
      <c r="G523" s="23"/>
      <c r="H523" s="23"/>
      <c r="I523" s="23"/>
      <c r="J523" s="19"/>
      <c r="K523" s="19"/>
      <c r="L523" s="19"/>
      <c r="M523" s="23"/>
      <c r="N523" s="19"/>
      <c r="O523" s="23"/>
      <c r="P523" s="19"/>
      <c r="Q523" s="23"/>
      <c r="R523" s="6"/>
    </row>
    <row r="524" spans="1:18" s="3" customFormat="1" ht="13.5" customHeight="1">
      <c r="A524" s="19" t="s">
        <v>138</v>
      </c>
      <c r="B524" s="20" t="s">
        <v>13</v>
      </c>
      <c r="C524" s="21">
        <f>SUM(C522,C505,C500,C502,C498,C496,C494,)</f>
        <v>0</v>
      </c>
      <c r="D524" s="23"/>
      <c r="E524" s="21">
        <f>SUM(E522,E505,E500,E502,E498,E496,E494,)</f>
        <v>529377</v>
      </c>
      <c r="F524" s="23"/>
      <c r="G524" s="21">
        <f>SUM(G522,G505,G500,G502,G498,G496,G494,)</f>
        <v>374487</v>
      </c>
      <c r="H524" s="23"/>
      <c r="I524" s="21">
        <f>SUM(I522,I505,I500,I502,I498,I496,I494,)</f>
        <v>8400692</v>
      </c>
      <c r="J524" s="19"/>
      <c r="K524" s="21">
        <f t="shared" si="22"/>
        <v>9304556</v>
      </c>
      <c r="L524" s="19"/>
      <c r="M524" s="21">
        <f>SUM(M522,M505,M500,M502,M498,M496,M494,)</f>
        <v>5086399</v>
      </c>
      <c r="N524" s="19"/>
      <c r="O524" s="21">
        <f>SUM(O522,O505,O500,O502,O498,O496,O494,)</f>
        <v>4053634</v>
      </c>
      <c r="P524" s="19"/>
      <c r="Q524" s="21">
        <f>SUM(Q522,Q505,Q500,Q502,Q498,Q496,Q494,)</f>
        <v>164523</v>
      </c>
      <c r="R524" s="6"/>
    </row>
    <row r="525" spans="1:18" s="3" customFormat="1" ht="13.5" customHeight="1">
      <c r="A525" s="19"/>
      <c r="B525" s="20" t="s">
        <v>13</v>
      </c>
      <c r="C525" s="19"/>
      <c r="D525" s="23"/>
      <c r="E525" s="19"/>
      <c r="F525" s="23"/>
      <c r="G525" s="19"/>
      <c r="H525" s="23"/>
      <c r="I525" s="19"/>
      <c r="J525" s="19"/>
      <c r="K525" s="19"/>
      <c r="L525" s="19"/>
      <c r="M525" s="19"/>
      <c r="N525" s="19"/>
      <c r="O525" s="19"/>
      <c r="P525" s="19"/>
      <c r="Q525" s="19"/>
      <c r="R525" s="6"/>
    </row>
    <row r="526" spans="1:18" s="3" customFormat="1" ht="13.5" customHeight="1">
      <c r="A526" s="19" t="s">
        <v>168</v>
      </c>
      <c r="B526" s="20" t="s">
        <v>13</v>
      </c>
      <c r="C526" s="19" t="s">
        <v>13</v>
      </c>
      <c r="D526" s="23"/>
      <c r="E526" s="19" t="s">
        <v>13</v>
      </c>
      <c r="F526" s="23"/>
      <c r="G526" s="19" t="s">
        <v>13</v>
      </c>
      <c r="H526" s="23"/>
      <c r="I526" s="19" t="s">
        <v>13</v>
      </c>
      <c r="J526" s="19"/>
      <c r="K526" s="19"/>
      <c r="L526" s="19"/>
      <c r="M526" s="19" t="s">
        <v>13</v>
      </c>
      <c r="N526" s="19"/>
      <c r="O526" s="19" t="s">
        <v>13</v>
      </c>
      <c r="P526" s="19"/>
      <c r="Q526" s="19" t="s">
        <v>13</v>
      </c>
      <c r="R526" s="6"/>
    </row>
    <row r="527" spans="1:18" s="3" customFormat="1" ht="13.5" customHeight="1">
      <c r="A527" s="19"/>
      <c r="B527" s="20"/>
      <c r="C527" s="19"/>
      <c r="D527" s="23"/>
      <c r="E527" s="19"/>
      <c r="F527" s="23"/>
      <c r="G527" s="19"/>
      <c r="H527" s="23"/>
      <c r="I527" s="19"/>
      <c r="J527" s="19"/>
      <c r="K527" s="19"/>
      <c r="L527" s="19"/>
      <c r="M527" s="19"/>
      <c r="N527" s="19"/>
      <c r="O527" s="19"/>
      <c r="P527" s="19"/>
      <c r="Q527" s="19"/>
      <c r="R527" s="6"/>
    </row>
    <row r="528" spans="1:18" s="3" customFormat="1" ht="13.5" customHeight="1">
      <c r="A528" s="19" t="s">
        <v>26</v>
      </c>
      <c r="B528" s="20" t="s">
        <v>13</v>
      </c>
      <c r="C528" s="19" t="s">
        <v>13</v>
      </c>
      <c r="D528" s="23"/>
      <c r="E528" s="19" t="s">
        <v>13</v>
      </c>
      <c r="F528" s="23"/>
      <c r="G528" s="19" t="s">
        <v>13</v>
      </c>
      <c r="H528" s="23"/>
      <c r="I528" s="19" t="s">
        <v>13</v>
      </c>
      <c r="J528" s="19"/>
      <c r="K528" s="19"/>
      <c r="L528" s="19"/>
      <c r="M528" s="19" t="s">
        <v>13</v>
      </c>
      <c r="N528" s="19"/>
      <c r="O528" s="19" t="s">
        <v>13</v>
      </c>
      <c r="P528" s="19"/>
      <c r="Q528" s="19" t="s">
        <v>13</v>
      </c>
      <c r="R528" s="6"/>
    </row>
    <row r="529" spans="1:18" s="3" customFormat="1" ht="13.5" customHeight="1">
      <c r="A529" s="19" t="s">
        <v>111</v>
      </c>
      <c r="B529" s="20" t="s">
        <v>13</v>
      </c>
      <c r="C529" s="19">
        <v>0</v>
      </c>
      <c r="D529" s="23"/>
      <c r="E529" s="19">
        <v>0</v>
      </c>
      <c r="F529" s="23"/>
      <c r="G529" s="19">
        <v>16785</v>
      </c>
      <c r="H529" s="23"/>
      <c r="I529" s="19">
        <v>-53621</v>
      </c>
      <c r="J529" s="19"/>
      <c r="K529" s="19">
        <f t="shared" si="22"/>
        <v>-36836</v>
      </c>
      <c r="L529" s="19"/>
      <c r="M529" s="19">
        <v>-53754</v>
      </c>
      <c r="N529" s="19"/>
      <c r="O529" s="19">
        <v>16918</v>
      </c>
      <c r="P529" s="19"/>
      <c r="Q529" s="19">
        <v>0</v>
      </c>
      <c r="R529" s="6"/>
    </row>
    <row r="530" spans="1:18" s="3" customFormat="1" ht="13.5" customHeight="1">
      <c r="A530" s="19" t="s">
        <v>246</v>
      </c>
      <c r="B530" s="20"/>
      <c r="C530" s="19">
        <v>0</v>
      </c>
      <c r="D530" s="23"/>
      <c r="E530" s="19">
        <v>2819</v>
      </c>
      <c r="F530" s="23"/>
      <c r="G530" s="19">
        <v>24029</v>
      </c>
      <c r="H530" s="23"/>
      <c r="I530" s="19">
        <v>943047</v>
      </c>
      <c r="J530" s="19"/>
      <c r="K530" s="19">
        <f t="shared" si="22"/>
        <v>969895</v>
      </c>
      <c r="L530" s="19"/>
      <c r="M530" s="19">
        <v>132391</v>
      </c>
      <c r="N530" s="19"/>
      <c r="O530" s="19">
        <v>837328</v>
      </c>
      <c r="P530" s="19"/>
      <c r="Q530" s="19">
        <v>176</v>
      </c>
      <c r="R530" s="6"/>
    </row>
    <row r="531" spans="1:18" s="3" customFormat="1" ht="13.5" customHeight="1">
      <c r="A531" s="19" t="s">
        <v>307</v>
      </c>
      <c r="B531" s="20"/>
      <c r="C531" s="19">
        <v>0</v>
      </c>
      <c r="D531" s="23"/>
      <c r="E531" s="19">
        <v>0</v>
      </c>
      <c r="F531" s="23"/>
      <c r="G531" s="19">
        <v>0</v>
      </c>
      <c r="H531" s="23"/>
      <c r="I531" s="19">
        <v>1274</v>
      </c>
      <c r="J531" s="19"/>
      <c r="K531" s="19">
        <f t="shared" si="22"/>
        <v>1274</v>
      </c>
      <c r="L531" s="19"/>
      <c r="M531" s="19">
        <v>0</v>
      </c>
      <c r="N531" s="19"/>
      <c r="O531" s="19">
        <v>1274</v>
      </c>
      <c r="P531" s="19"/>
      <c r="Q531" s="19">
        <v>0</v>
      </c>
      <c r="R531" s="6"/>
    </row>
    <row r="532" spans="1:18" s="3" customFormat="1" ht="13.5" customHeight="1">
      <c r="A532" s="19" t="s">
        <v>247</v>
      </c>
      <c r="B532" s="20"/>
      <c r="C532" s="19">
        <v>0</v>
      </c>
      <c r="D532" s="23"/>
      <c r="E532" s="19">
        <v>120</v>
      </c>
      <c r="F532" s="23"/>
      <c r="G532" s="19">
        <v>0</v>
      </c>
      <c r="H532" s="23"/>
      <c r="I532" s="19">
        <v>10000</v>
      </c>
      <c r="J532" s="19"/>
      <c r="K532" s="19">
        <f>IF(SUM(C532:I532)=SUM(M532:Q532),SUM(C532:I532),SUM(M532:Q532)-SUM(C532:I532))</f>
        <v>10120</v>
      </c>
      <c r="L532" s="19"/>
      <c r="M532" s="19">
        <v>3199</v>
      </c>
      <c r="N532" s="19"/>
      <c r="O532" s="19">
        <v>6913</v>
      </c>
      <c r="P532" s="19"/>
      <c r="Q532" s="19">
        <v>8</v>
      </c>
      <c r="R532" s="6"/>
    </row>
    <row r="533" spans="1:18" s="3" customFormat="1" ht="13.5" customHeight="1">
      <c r="A533" s="19" t="s">
        <v>193</v>
      </c>
      <c r="B533" s="20" t="s">
        <v>13</v>
      </c>
      <c r="C533" s="19">
        <v>0</v>
      </c>
      <c r="D533" s="23"/>
      <c r="E533" s="19">
        <v>7772</v>
      </c>
      <c r="F533" s="23"/>
      <c r="G533" s="19">
        <v>0</v>
      </c>
      <c r="H533" s="23"/>
      <c r="I533" s="19">
        <v>-617160</v>
      </c>
      <c r="J533" s="19"/>
      <c r="K533" s="19">
        <f t="shared" si="22"/>
        <v>-609388</v>
      </c>
      <c r="L533" s="19"/>
      <c r="M533" s="19">
        <v>-736075</v>
      </c>
      <c r="N533" s="19"/>
      <c r="O533" s="19">
        <v>126201</v>
      </c>
      <c r="P533" s="19"/>
      <c r="Q533" s="19">
        <v>486</v>
      </c>
      <c r="R533" s="6"/>
    </row>
    <row r="534" spans="1:18" s="3" customFormat="1" ht="13.5" customHeight="1">
      <c r="A534" s="19" t="s">
        <v>204</v>
      </c>
      <c r="B534" s="20" t="s">
        <v>13</v>
      </c>
      <c r="C534" s="21">
        <v>0</v>
      </c>
      <c r="D534" s="23"/>
      <c r="E534" s="21">
        <v>1612</v>
      </c>
      <c r="F534" s="23"/>
      <c r="G534" s="21">
        <v>340</v>
      </c>
      <c r="H534" s="23"/>
      <c r="I534" s="21">
        <v>3540930</v>
      </c>
      <c r="J534" s="19"/>
      <c r="K534" s="19">
        <f t="shared" si="22"/>
        <v>3542882</v>
      </c>
      <c r="L534" s="19"/>
      <c r="M534" s="24">
        <v>2523380</v>
      </c>
      <c r="N534" s="19"/>
      <c r="O534" s="24">
        <v>1019402</v>
      </c>
      <c r="P534" s="19"/>
      <c r="Q534" s="24">
        <f>-1+101</f>
        <v>100</v>
      </c>
      <c r="R534" s="6"/>
    </row>
    <row r="535" spans="1:18" s="3" customFormat="1" ht="13.5" customHeight="1">
      <c r="A535" s="19" t="s">
        <v>139</v>
      </c>
      <c r="B535" s="20" t="s">
        <v>13</v>
      </c>
      <c r="C535" s="21">
        <f>SUM(C529:C534)</f>
        <v>0</v>
      </c>
      <c r="D535" s="23"/>
      <c r="E535" s="21">
        <f>SUM(E529:E534)</f>
        <v>12323</v>
      </c>
      <c r="F535" s="23"/>
      <c r="G535" s="21">
        <f>SUM(G529:G534)</f>
        <v>41154</v>
      </c>
      <c r="H535" s="23"/>
      <c r="I535" s="21">
        <f>SUM(I529:I534)</f>
        <v>3824470</v>
      </c>
      <c r="J535" s="19"/>
      <c r="K535" s="22">
        <f t="shared" si="22"/>
        <v>3877947</v>
      </c>
      <c r="L535" s="19"/>
      <c r="M535" s="21">
        <f>SUM(M529:M534)</f>
        <v>1869141</v>
      </c>
      <c r="N535" s="19"/>
      <c r="O535" s="21">
        <f>SUM(O529:O534)</f>
        <v>2008036</v>
      </c>
      <c r="P535" s="19"/>
      <c r="Q535" s="21">
        <f>SUM(Q529:Q534)</f>
        <v>770</v>
      </c>
      <c r="R535" s="6"/>
    </row>
    <row r="536" spans="1:18" s="3" customFormat="1" ht="13.5" customHeight="1">
      <c r="A536" s="19"/>
      <c r="B536" s="20" t="s">
        <v>13</v>
      </c>
      <c r="C536" s="19"/>
      <c r="D536" s="23"/>
      <c r="E536" s="19"/>
      <c r="F536" s="23"/>
      <c r="G536" s="19"/>
      <c r="H536" s="23"/>
      <c r="I536" s="19"/>
      <c r="J536" s="19"/>
      <c r="K536" s="19"/>
      <c r="L536" s="19"/>
      <c r="M536" s="19"/>
      <c r="N536" s="19"/>
      <c r="O536" s="19"/>
      <c r="P536" s="19"/>
      <c r="Q536" s="19"/>
      <c r="R536" s="6"/>
    </row>
    <row r="537" spans="1:18" s="3" customFormat="1" ht="13.5" customHeight="1">
      <c r="A537" s="19" t="s">
        <v>27</v>
      </c>
      <c r="B537" s="20" t="s">
        <v>13</v>
      </c>
      <c r="C537" s="19"/>
      <c r="D537" s="23"/>
      <c r="E537" s="19"/>
      <c r="F537" s="23"/>
      <c r="G537" s="19"/>
      <c r="H537" s="23"/>
      <c r="I537" s="19"/>
      <c r="J537" s="19"/>
      <c r="K537" s="23"/>
      <c r="L537" s="19"/>
      <c r="M537" s="19"/>
      <c r="N537" s="19"/>
      <c r="O537" s="19"/>
      <c r="P537" s="19"/>
      <c r="Q537" s="19"/>
      <c r="R537" s="6"/>
    </row>
    <row r="538" spans="1:18" s="3" customFormat="1" ht="13.5" customHeight="1">
      <c r="A538" s="19" t="s">
        <v>112</v>
      </c>
      <c r="B538" s="20"/>
      <c r="C538" s="19">
        <v>0</v>
      </c>
      <c r="D538" s="23"/>
      <c r="E538" s="19">
        <v>13006</v>
      </c>
      <c r="F538" s="23"/>
      <c r="G538" s="19">
        <v>0</v>
      </c>
      <c r="H538" s="23"/>
      <c r="I538" s="19">
        <v>895525</v>
      </c>
      <c r="J538" s="19"/>
      <c r="K538" s="23">
        <f t="shared" si="22"/>
        <v>908531</v>
      </c>
      <c r="L538" s="19"/>
      <c r="M538" s="19">
        <v>824361</v>
      </c>
      <c r="N538" s="19"/>
      <c r="O538" s="19">
        <v>83358</v>
      </c>
      <c r="P538" s="19"/>
      <c r="Q538" s="19">
        <f>-1+813</f>
        <v>812</v>
      </c>
      <c r="R538" s="6"/>
    </row>
    <row r="539" spans="1:18" s="3" customFormat="1" ht="13.5" customHeight="1">
      <c r="A539" s="19" t="s">
        <v>257</v>
      </c>
      <c r="B539" s="20" t="s">
        <v>13</v>
      </c>
      <c r="C539" s="21">
        <v>0</v>
      </c>
      <c r="D539" s="23"/>
      <c r="E539" s="21">
        <v>0</v>
      </c>
      <c r="F539" s="23"/>
      <c r="G539" s="21">
        <v>0</v>
      </c>
      <c r="H539" s="23"/>
      <c r="I539" s="21">
        <v>28117</v>
      </c>
      <c r="J539" s="19"/>
      <c r="K539" s="23">
        <f t="shared" si="22"/>
        <v>28117</v>
      </c>
      <c r="L539" s="19"/>
      <c r="M539" s="24">
        <v>0</v>
      </c>
      <c r="N539" s="19"/>
      <c r="O539" s="24">
        <v>28117</v>
      </c>
      <c r="P539" s="19"/>
      <c r="Q539" s="24">
        <v>0</v>
      </c>
      <c r="R539" s="6"/>
    </row>
    <row r="540" spans="1:18" s="3" customFormat="1" ht="13.5" customHeight="1">
      <c r="A540" s="19" t="s">
        <v>227</v>
      </c>
      <c r="B540" s="20"/>
      <c r="C540" s="34">
        <f>SUM(C538:C539)</f>
        <v>0</v>
      </c>
      <c r="D540" s="23"/>
      <c r="E540" s="34">
        <f>SUM(E538:E539)</f>
        <v>13006</v>
      </c>
      <c r="F540" s="23"/>
      <c r="G540" s="34">
        <f>SUM(G539:G539)</f>
        <v>0</v>
      </c>
      <c r="H540" s="23"/>
      <c r="I540" s="34">
        <f>SUM(I538:I539)</f>
        <v>923642</v>
      </c>
      <c r="J540" s="19"/>
      <c r="K540" s="22">
        <f t="shared" si="22"/>
        <v>936648</v>
      </c>
      <c r="L540" s="19"/>
      <c r="M540" s="34">
        <f>SUM(M538:M539)</f>
        <v>824361</v>
      </c>
      <c r="N540" s="19"/>
      <c r="O540" s="34">
        <f>SUM(O538:O539)</f>
        <v>111475</v>
      </c>
      <c r="P540" s="19"/>
      <c r="Q540" s="34">
        <f>SUM(Q538:Q539)</f>
        <v>812</v>
      </c>
      <c r="R540" s="6"/>
    </row>
    <row r="541" spans="1:18" s="3" customFormat="1" ht="13.5" customHeight="1">
      <c r="A541" s="19"/>
      <c r="B541" s="20" t="s">
        <v>13</v>
      </c>
      <c r="C541" s="19"/>
      <c r="D541" s="23"/>
      <c r="E541" s="19"/>
      <c r="F541" s="23"/>
      <c r="G541" s="19"/>
      <c r="H541" s="23"/>
      <c r="I541" s="19"/>
      <c r="J541" s="19"/>
      <c r="K541" s="19"/>
      <c r="L541" s="19"/>
      <c r="M541" s="19"/>
      <c r="N541" s="19"/>
      <c r="O541" s="19"/>
      <c r="P541" s="19"/>
      <c r="Q541" s="19"/>
      <c r="R541" s="6"/>
    </row>
    <row r="542" spans="1:18" s="3" customFormat="1" ht="13.5" customHeight="1">
      <c r="A542" s="19" t="s">
        <v>282</v>
      </c>
      <c r="B542" s="20" t="s">
        <v>13</v>
      </c>
      <c r="C542" s="19" t="s">
        <v>13</v>
      </c>
      <c r="D542" s="23"/>
      <c r="E542" s="19" t="s">
        <v>13</v>
      </c>
      <c r="F542" s="23"/>
      <c r="G542" s="19" t="s">
        <v>13</v>
      </c>
      <c r="H542" s="23"/>
      <c r="I542" s="19" t="s">
        <v>13</v>
      </c>
      <c r="J542" s="19"/>
      <c r="K542" s="19"/>
      <c r="L542" s="19"/>
      <c r="M542" s="19" t="s">
        <v>13</v>
      </c>
      <c r="N542" s="19"/>
      <c r="O542" s="19" t="s">
        <v>13</v>
      </c>
      <c r="P542" s="19"/>
      <c r="Q542" s="19" t="s">
        <v>13</v>
      </c>
      <c r="R542" s="6"/>
    </row>
    <row r="543" spans="1:18" s="3" customFormat="1" ht="13.5" customHeight="1">
      <c r="A543" s="19" t="s">
        <v>280</v>
      </c>
      <c r="B543" s="20"/>
      <c r="C543" s="19">
        <v>0</v>
      </c>
      <c r="D543" s="23"/>
      <c r="E543" s="19">
        <v>0</v>
      </c>
      <c r="F543" s="23"/>
      <c r="G543" s="19">
        <v>7136</v>
      </c>
      <c r="H543" s="23"/>
      <c r="I543" s="19">
        <v>0</v>
      </c>
      <c r="J543" s="19"/>
      <c r="K543" s="19">
        <f t="shared" si="22"/>
        <v>7136</v>
      </c>
      <c r="L543" s="19"/>
      <c r="M543" s="19">
        <v>0</v>
      </c>
      <c r="N543" s="19"/>
      <c r="O543" s="19">
        <v>7136</v>
      </c>
      <c r="P543" s="19"/>
      <c r="Q543" s="19">
        <v>0</v>
      </c>
      <c r="R543" s="6"/>
    </row>
    <row r="544" spans="1:18" s="3" customFormat="1" ht="13.5" customHeight="1">
      <c r="A544" s="19" t="s">
        <v>322</v>
      </c>
      <c r="B544" s="20"/>
      <c r="C544" s="19">
        <v>0</v>
      </c>
      <c r="D544" s="23"/>
      <c r="E544" s="19">
        <v>0</v>
      </c>
      <c r="F544" s="23"/>
      <c r="G544" s="19">
        <v>0</v>
      </c>
      <c r="H544" s="23"/>
      <c r="I544" s="19">
        <v>370124</v>
      </c>
      <c r="J544" s="19"/>
      <c r="K544" s="19">
        <f t="shared" si="22"/>
        <v>370124</v>
      </c>
      <c r="L544" s="19"/>
      <c r="M544" s="19">
        <v>368791</v>
      </c>
      <c r="N544" s="19"/>
      <c r="O544" s="19">
        <v>1333</v>
      </c>
      <c r="P544" s="19"/>
      <c r="Q544" s="19">
        <v>0</v>
      </c>
      <c r="R544" s="6"/>
    </row>
    <row r="545" spans="1:18" s="3" customFormat="1" ht="13.5" customHeight="1">
      <c r="A545" s="19" t="s">
        <v>323</v>
      </c>
      <c r="B545" s="20"/>
      <c r="C545" s="19">
        <v>0</v>
      </c>
      <c r="D545" s="23"/>
      <c r="E545" s="19">
        <v>0</v>
      </c>
      <c r="F545" s="23"/>
      <c r="G545" s="19">
        <v>0</v>
      </c>
      <c r="H545" s="23"/>
      <c r="I545" s="19">
        <v>538752</v>
      </c>
      <c r="J545" s="19"/>
      <c r="K545" s="19">
        <f t="shared" si="22"/>
        <v>538752</v>
      </c>
      <c r="L545" s="19"/>
      <c r="M545" s="19">
        <v>382782</v>
      </c>
      <c r="N545" s="19"/>
      <c r="O545" s="19">
        <v>155970</v>
      </c>
      <c r="P545" s="19"/>
      <c r="Q545" s="19">
        <v>0</v>
      </c>
      <c r="R545" s="6"/>
    </row>
    <row r="546" spans="1:18" s="3" customFormat="1" ht="13.5" customHeight="1">
      <c r="A546" s="19" t="s">
        <v>113</v>
      </c>
      <c r="B546" s="20" t="s">
        <v>13</v>
      </c>
      <c r="C546" s="19">
        <v>0</v>
      </c>
      <c r="D546" s="23"/>
      <c r="E546" s="19">
        <v>0</v>
      </c>
      <c r="F546" s="23"/>
      <c r="G546" s="19">
        <v>0</v>
      </c>
      <c r="H546" s="23"/>
      <c r="I546" s="19">
        <v>20472</v>
      </c>
      <c r="J546" s="19"/>
      <c r="K546" s="23">
        <f t="shared" si="22"/>
        <v>20472</v>
      </c>
      <c r="L546" s="19"/>
      <c r="M546" s="19">
        <v>0</v>
      </c>
      <c r="N546" s="19"/>
      <c r="O546" s="19">
        <v>20472</v>
      </c>
      <c r="P546" s="19"/>
      <c r="Q546" s="19">
        <v>0</v>
      </c>
      <c r="R546" s="6"/>
    </row>
    <row r="547" spans="1:18" s="3" customFormat="1" ht="13.5" customHeight="1">
      <c r="A547" s="19" t="s">
        <v>324</v>
      </c>
      <c r="B547" s="20"/>
      <c r="C547" s="19">
        <v>0</v>
      </c>
      <c r="D547" s="23"/>
      <c r="E547" s="19">
        <v>0</v>
      </c>
      <c r="F547" s="23"/>
      <c r="G547" s="19">
        <v>50</v>
      </c>
      <c r="H547" s="23"/>
      <c r="I547" s="19">
        <v>0</v>
      </c>
      <c r="J547" s="19"/>
      <c r="K547" s="23">
        <f t="shared" si="22"/>
        <v>50</v>
      </c>
      <c r="L547" s="19"/>
      <c r="M547" s="19">
        <v>0</v>
      </c>
      <c r="N547" s="19"/>
      <c r="O547" s="19">
        <v>50</v>
      </c>
      <c r="P547" s="19"/>
      <c r="Q547" s="19">
        <v>0</v>
      </c>
      <c r="R547" s="6"/>
    </row>
    <row r="548" spans="1:18" s="3" customFormat="1" ht="13.5" customHeight="1">
      <c r="A548" s="19" t="s">
        <v>169</v>
      </c>
      <c r="B548" s="20" t="s">
        <v>13</v>
      </c>
      <c r="C548" s="22">
        <f>SUM(C543:C547)</f>
        <v>0</v>
      </c>
      <c r="D548" s="23"/>
      <c r="E548" s="22">
        <f>SUM(E543:E547)</f>
        <v>0</v>
      </c>
      <c r="F548" s="23"/>
      <c r="G548" s="22">
        <f>SUM(G543:G547)</f>
        <v>7186</v>
      </c>
      <c r="H548" s="23"/>
      <c r="I548" s="22">
        <f>SUM(I543:I547)</f>
        <v>929348</v>
      </c>
      <c r="J548" s="19"/>
      <c r="K548" s="22">
        <f t="shared" si="22"/>
        <v>936534</v>
      </c>
      <c r="L548" s="19"/>
      <c r="M548" s="22">
        <f>SUM(M543:M547)</f>
        <v>751573</v>
      </c>
      <c r="N548" s="19"/>
      <c r="O548" s="22">
        <f>SUM(O543:O547)</f>
        <v>184961</v>
      </c>
      <c r="P548" s="19"/>
      <c r="Q548" s="22">
        <f>SUM(Q543:Q547)</f>
        <v>0</v>
      </c>
      <c r="R548" s="6"/>
    </row>
    <row r="549" spans="1:18" s="3" customFormat="1" ht="13.5" customHeight="1">
      <c r="A549" s="19"/>
      <c r="B549" s="20"/>
      <c r="C549" s="23"/>
      <c r="D549" s="23"/>
      <c r="E549" s="23"/>
      <c r="F549" s="23"/>
      <c r="G549" s="23"/>
      <c r="H549" s="23"/>
      <c r="I549" s="23"/>
      <c r="J549" s="19"/>
      <c r="K549" s="19"/>
      <c r="L549" s="19"/>
      <c r="M549" s="23"/>
      <c r="N549" s="19"/>
      <c r="O549" s="23"/>
      <c r="P549" s="19"/>
      <c r="Q549" s="23"/>
      <c r="R549" s="6"/>
    </row>
    <row r="550" spans="1:18" s="3" customFormat="1" ht="13.5" customHeight="1">
      <c r="A550" s="19" t="s">
        <v>28</v>
      </c>
      <c r="B550" s="20" t="s">
        <v>13</v>
      </c>
      <c r="C550" s="19"/>
      <c r="D550" s="23"/>
      <c r="E550" s="19"/>
      <c r="F550" s="23"/>
      <c r="G550" s="19"/>
      <c r="H550" s="23"/>
      <c r="I550" s="19"/>
      <c r="J550" s="19"/>
      <c r="K550" s="19"/>
      <c r="L550" s="19"/>
      <c r="M550" s="19"/>
      <c r="N550" s="19"/>
      <c r="O550" s="19"/>
      <c r="P550" s="19"/>
      <c r="Q550" s="19"/>
      <c r="R550" s="6"/>
    </row>
    <row r="551" spans="1:18" s="3" customFormat="1" ht="13.5" customHeight="1">
      <c r="A551" s="19" t="s">
        <v>325</v>
      </c>
      <c r="B551" s="20"/>
      <c r="C551" s="19">
        <v>0</v>
      </c>
      <c r="D551" s="23"/>
      <c r="E551" s="19">
        <v>0</v>
      </c>
      <c r="F551" s="23"/>
      <c r="G551" s="19">
        <v>9</v>
      </c>
      <c r="H551" s="23"/>
      <c r="I551" s="19">
        <v>0</v>
      </c>
      <c r="J551" s="19"/>
      <c r="K551" s="19">
        <f t="shared" si="22"/>
        <v>9</v>
      </c>
      <c r="L551" s="19"/>
      <c r="M551" s="19">
        <v>0</v>
      </c>
      <c r="N551" s="19"/>
      <c r="O551" s="19">
        <v>9</v>
      </c>
      <c r="P551" s="19"/>
      <c r="Q551" s="19">
        <v>0</v>
      </c>
      <c r="R551" s="6"/>
    </row>
    <row r="552" spans="1:18" s="3" customFormat="1" ht="13.5" customHeight="1">
      <c r="A552" s="19" t="s">
        <v>308</v>
      </c>
      <c r="B552" s="20"/>
      <c r="C552" s="19">
        <v>0</v>
      </c>
      <c r="D552" s="23"/>
      <c r="E552" s="19">
        <v>0</v>
      </c>
      <c r="F552" s="23"/>
      <c r="G552" s="19">
        <v>4927</v>
      </c>
      <c r="H552" s="23"/>
      <c r="I552" s="19">
        <v>0</v>
      </c>
      <c r="J552" s="19"/>
      <c r="K552" s="19">
        <f t="shared" si="22"/>
        <v>4927</v>
      </c>
      <c r="L552" s="19"/>
      <c r="M552" s="19">
        <v>0</v>
      </c>
      <c r="N552" s="19"/>
      <c r="O552" s="19">
        <v>4927</v>
      </c>
      <c r="P552" s="19"/>
      <c r="Q552" s="19">
        <v>0</v>
      </c>
      <c r="R552" s="6"/>
    </row>
    <row r="553" spans="1:18" s="3" customFormat="1" ht="13.5" customHeight="1">
      <c r="A553" s="19" t="s">
        <v>114</v>
      </c>
      <c r="B553" s="20" t="s">
        <v>13</v>
      </c>
      <c r="C553" s="19">
        <v>0</v>
      </c>
      <c r="D553" s="23"/>
      <c r="E553" s="19">
        <v>0</v>
      </c>
      <c r="F553" s="23"/>
      <c r="G553" s="19">
        <v>4703</v>
      </c>
      <c r="H553" s="23"/>
      <c r="I553" s="19">
        <v>0</v>
      </c>
      <c r="J553" s="19"/>
      <c r="K553" s="19">
        <f t="shared" si="22"/>
        <v>4703</v>
      </c>
      <c r="L553" s="19"/>
      <c r="M553" s="19">
        <v>0</v>
      </c>
      <c r="N553" s="19"/>
      <c r="O553" s="19">
        <v>4703</v>
      </c>
      <c r="P553" s="19"/>
      <c r="Q553" s="19">
        <v>0</v>
      </c>
      <c r="R553" s="6"/>
    </row>
    <row r="554" spans="1:18" s="3" customFormat="1" ht="13.5" customHeight="1">
      <c r="A554" s="19" t="s">
        <v>244</v>
      </c>
      <c r="B554" s="20"/>
      <c r="C554" s="19">
        <v>0</v>
      </c>
      <c r="D554" s="23"/>
      <c r="E554" s="19">
        <v>0</v>
      </c>
      <c r="F554" s="23"/>
      <c r="G554" s="19">
        <v>17246</v>
      </c>
      <c r="H554" s="23"/>
      <c r="I554" s="19">
        <v>0</v>
      </c>
      <c r="J554" s="19"/>
      <c r="K554" s="19">
        <f t="shared" si="22"/>
        <v>17246</v>
      </c>
      <c r="L554" s="19"/>
      <c r="M554" s="19">
        <v>0</v>
      </c>
      <c r="N554" s="19"/>
      <c r="O554" s="19">
        <v>17246</v>
      </c>
      <c r="P554" s="19"/>
      <c r="Q554" s="19">
        <v>0</v>
      </c>
      <c r="R554" s="6"/>
    </row>
    <row r="555" spans="1:18" s="3" customFormat="1" ht="13.5" customHeight="1">
      <c r="A555" s="23" t="s">
        <v>101</v>
      </c>
      <c r="B555" s="26"/>
      <c r="C555" s="19">
        <v>0</v>
      </c>
      <c r="D555" s="23"/>
      <c r="E555" s="19">
        <v>0</v>
      </c>
      <c r="F555" s="23"/>
      <c r="G555" s="19">
        <v>18321</v>
      </c>
      <c r="H555" s="23"/>
      <c r="I555" s="19">
        <v>0</v>
      </c>
      <c r="J555" s="23"/>
      <c r="K555" s="19">
        <f t="shared" si="22"/>
        <v>18321</v>
      </c>
      <c r="L555" s="23"/>
      <c r="M555" s="19">
        <v>0</v>
      </c>
      <c r="N555" s="19"/>
      <c r="O555" s="19">
        <v>18321</v>
      </c>
      <c r="P555" s="19"/>
      <c r="Q555" s="19">
        <v>0</v>
      </c>
      <c r="R555" s="6"/>
    </row>
    <row r="556" spans="1:18" s="3" customFormat="1" ht="13.5" customHeight="1">
      <c r="A556" s="23" t="s">
        <v>104</v>
      </c>
      <c r="B556" s="26"/>
      <c r="C556" s="21">
        <v>0</v>
      </c>
      <c r="D556" s="23"/>
      <c r="E556" s="21">
        <v>0</v>
      </c>
      <c r="F556" s="23"/>
      <c r="G556" s="21">
        <v>150441</v>
      </c>
      <c r="H556" s="23"/>
      <c r="I556" s="21">
        <v>0</v>
      </c>
      <c r="J556" s="23"/>
      <c r="K556" s="21">
        <f t="shared" si="22"/>
        <v>150441</v>
      </c>
      <c r="L556" s="23"/>
      <c r="M556" s="24">
        <v>101676</v>
      </c>
      <c r="N556" s="19"/>
      <c r="O556" s="24">
        <v>48765</v>
      </c>
      <c r="P556" s="19"/>
      <c r="Q556" s="24">
        <v>0</v>
      </c>
      <c r="R556" s="6"/>
    </row>
    <row r="557" spans="1:18" s="3" customFormat="1" ht="13.5" customHeight="1">
      <c r="A557" s="19" t="s">
        <v>143</v>
      </c>
      <c r="B557" s="20" t="s">
        <v>13</v>
      </c>
      <c r="C557" s="21">
        <f>SUM(C551:C556)</f>
        <v>0</v>
      </c>
      <c r="D557" s="23"/>
      <c r="E557" s="21">
        <f>SUM(E551:E556)</f>
        <v>0</v>
      </c>
      <c r="F557" s="23"/>
      <c r="G557" s="21">
        <f>SUM(G551:G556)</f>
        <v>195647</v>
      </c>
      <c r="H557" s="23"/>
      <c r="I557" s="21">
        <f>SUM(I551:I556)</f>
        <v>0</v>
      </c>
      <c r="J557" s="19"/>
      <c r="K557" s="22">
        <f t="shared" si="22"/>
        <v>195647</v>
      </c>
      <c r="L557" s="19"/>
      <c r="M557" s="21">
        <f>SUM(M551:M556)</f>
        <v>101676</v>
      </c>
      <c r="N557" s="19"/>
      <c r="O557" s="21">
        <f>SUM(O551:O556)</f>
        <v>93971</v>
      </c>
      <c r="P557" s="19"/>
      <c r="Q557" s="21">
        <f>SUM(Q551:Q556)</f>
        <v>0</v>
      </c>
      <c r="R557" s="6"/>
    </row>
    <row r="558" spans="1:18" s="3" customFormat="1" ht="13.5" customHeight="1">
      <c r="A558" s="19"/>
      <c r="B558" s="20" t="s">
        <v>13</v>
      </c>
      <c r="C558" s="19"/>
      <c r="D558" s="23"/>
      <c r="E558" s="19"/>
      <c r="F558" s="23"/>
      <c r="G558" s="19"/>
      <c r="H558" s="23"/>
      <c r="I558" s="19"/>
      <c r="J558" s="19"/>
      <c r="K558" s="19"/>
      <c r="L558" s="19"/>
      <c r="M558" s="19"/>
      <c r="N558" s="19"/>
      <c r="O558" s="19"/>
      <c r="P558" s="19"/>
      <c r="Q558" s="19"/>
      <c r="R558" s="6"/>
    </row>
    <row r="559" spans="1:18" s="3" customFormat="1" ht="13.5" customHeight="1">
      <c r="A559" s="19" t="s">
        <v>140</v>
      </c>
      <c r="B559" s="20" t="s">
        <v>13</v>
      </c>
      <c r="C559" s="21">
        <f>SUM(C557,C548,C535,C540,)</f>
        <v>0</v>
      </c>
      <c r="D559" s="23"/>
      <c r="E559" s="21">
        <f>SUM(E557,E548,E535,E540,)</f>
        <v>25329</v>
      </c>
      <c r="F559" s="23"/>
      <c r="G559" s="21">
        <f>SUM(G557,G548,G535,G540,)</f>
        <v>243987</v>
      </c>
      <c r="H559" s="23"/>
      <c r="I559" s="21">
        <f>SUM(I557,I548,I535,I540,)</f>
        <v>5677460</v>
      </c>
      <c r="J559" s="19"/>
      <c r="K559" s="21">
        <f t="shared" si="22"/>
        <v>5946776</v>
      </c>
      <c r="L559" s="19"/>
      <c r="M559" s="21">
        <f>SUM(M557,M548,M535,M540,)</f>
        <v>3546751</v>
      </c>
      <c r="N559" s="23"/>
      <c r="O559" s="21">
        <f>SUM(O557,O548,O535,O540,)</f>
        <v>2398443</v>
      </c>
      <c r="P559" s="23"/>
      <c r="Q559" s="21">
        <f>SUM(Q557,Q548,Q535,Q540,)</f>
        <v>1582</v>
      </c>
      <c r="R559" s="6"/>
    </row>
    <row r="560" spans="1:18" s="3" customFormat="1" ht="13.5" customHeight="1">
      <c r="A560" s="19"/>
      <c r="B560" s="20" t="s">
        <v>13</v>
      </c>
      <c r="C560" s="19"/>
      <c r="D560" s="23"/>
      <c r="E560" s="19"/>
      <c r="F560" s="23"/>
      <c r="G560" s="19"/>
      <c r="H560" s="23"/>
      <c r="I560" s="19"/>
      <c r="J560" s="19"/>
      <c r="K560" s="19"/>
      <c r="L560" s="19"/>
      <c r="M560" s="19"/>
      <c r="N560" s="19"/>
      <c r="O560" s="19"/>
      <c r="P560" s="19"/>
      <c r="Q560" s="19"/>
      <c r="R560" s="6"/>
    </row>
    <row r="561" spans="1:18" s="3" customFormat="1" ht="13.5" customHeight="1">
      <c r="A561" s="19" t="s">
        <v>156</v>
      </c>
      <c r="B561" s="20" t="s">
        <v>13</v>
      </c>
      <c r="C561" s="19" t="s">
        <v>13</v>
      </c>
      <c r="D561" s="23"/>
      <c r="E561" s="19" t="s">
        <v>13</v>
      </c>
      <c r="F561" s="23"/>
      <c r="G561" s="19" t="s">
        <v>13</v>
      </c>
      <c r="H561" s="23"/>
      <c r="I561" s="19" t="s">
        <v>13</v>
      </c>
      <c r="J561" s="19"/>
      <c r="K561" s="19"/>
      <c r="L561" s="19"/>
      <c r="M561" s="19" t="s">
        <v>13</v>
      </c>
      <c r="N561" s="19"/>
      <c r="O561" s="19" t="s">
        <v>13</v>
      </c>
      <c r="P561" s="19"/>
      <c r="Q561" s="19" t="s">
        <v>13</v>
      </c>
      <c r="R561" s="6"/>
    </row>
    <row r="562" spans="1:18" s="3" customFormat="1" ht="13.5" customHeight="1">
      <c r="A562" s="19" t="s">
        <v>115</v>
      </c>
      <c r="B562" s="20"/>
      <c r="C562" s="19">
        <v>0</v>
      </c>
      <c r="D562" s="23"/>
      <c r="E562" s="19">
        <v>5063</v>
      </c>
      <c r="F562" s="23"/>
      <c r="G562" s="19">
        <v>107596</v>
      </c>
      <c r="H562" s="23"/>
      <c r="I562" s="19">
        <f>-17+6904658</f>
        <v>6904641</v>
      </c>
      <c r="J562" s="19"/>
      <c r="K562" s="23">
        <f t="shared" si="22"/>
        <v>7017300</v>
      </c>
      <c r="L562" s="19"/>
      <c r="M562" s="19">
        <f>-17+200497</f>
        <v>200480</v>
      </c>
      <c r="N562" s="19"/>
      <c r="O562" s="19">
        <v>6816504</v>
      </c>
      <c r="P562" s="19"/>
      <c r="Q562" s="19">
        <v>316</v>
      </c>
      <c r="R562" s="6"/>
    </row>
    <row r="563" spans="1:18" s="3" customFormat="1" ht="13.5" customHeight="1">
      <c r="A563" s="19" t="s">
        <v>258</v>
      </c>
      <c r="B563" s="20" t="s">
        <v>13</v>
      </c>
      <c r="C563" s="19">
        <v>0</v>
      </c>
      <c r="D563" s="23"/>
      <c r="E563" s="19">
        <v>0</v>
      </c>
      <c r="F563" s="23"/>
      <c r="G563" s="19">
        <v>0</v>
      </c>
      <c r="H563" s="23"/>
      <c r="I563" s="19">
        <v>5771</v>
      </c>
      <c r="J563" s="19"/>
      <c r="K563" s="23">
        <f t="shared" si="22"/>
        <v>5771</v>
      </c>
      <c r="L563" s="19"/>
      <c r="M563" s="19">
        <v>0</v>
      </c>
      <c r="N563" s="19"/>
      <c r="O563" s="19">
        <v>5771</v>
      </c>
      <c r="P563" s="19"/>
      <c r="Q563" s="19">
        <v>0</v>
      </c>
      <c r="R563" s="6"/>
    </row>
    <row r="564" spans="1:18" s="3" customFormat="1" ht="13.5" customHeight="1">
      <c r="A564" s="19" t="s">
        <v>230</v>
      </c>
      <c r="B564" s="20" t="s">
        <v>13</v>
      </c>
      <c r="C564" s="19">
        <v>3352</v>
      </c>
      <c r="D564" s="23"/>
      <c r="E564" s="19">
        <v>0</v>
      </c>
      <c r="F564" s="23"/>
      <c r="G564" s="19">
        <v>-4788</v>
      </c>
      <c r="H564" s="23"/>
      <c r="I564" s="19">
        <v>0</v>
      </c>
      <c r="J564" s="19"/>
      <c r="K564" s="23">
        <f>IF(SUM(C564:I564)=SUM(M564:Q564),SUM(C564:I564),SUM(M564:Q564)-SUM(C564:I564))</f>
        <v>-1436</v>
      </c>
      <c r="L564" s="19"/>
      <c r="M564" s="19">
        <v>0</v>
      </c>
      <c r="N564" s="19"/>
      <c r="O564" s="19">
        <v>-1436</v>
      </c>
      <c r="P564" s="19"/>
      <c r="Q564" s="19">
        <v>0</v>
      </c>
      <c r="R564" s="6"/>
    </row>
    <row r="565" spans="1:18" s="3" customFormat="1" ht="13.5" customHeight="1">
      <c r="A565" s="19" t="s">
        <v>259</v>
      </c>
      <c r="B565" s="20" t="s">
        <v>13</v>
      </c>
      <c r="C565" s="19">
        <v>0</v>
      </c>
      <c r="D565" s="23"/>
      <c r="E565" s="19">
        <v>0</v>
      </c>
      <c r="F565" s="23"/>
      <c r="G565" s="19">
        <v>0</v>
      </c>
      <c r="H565" s="23"/>
      <c r="I565" s="19">
        <v>74295</v>
      </c>
      <c r="J565" s="19"/>
      <c r="K565" s="23">
        <f>IF(SUM(C565:I565)=SUM(M565:Q565),SUM(C565:I565),SUM(M565:Q565)-SUM(C565:I565))</f>
        <v>74295</v>
      </c>
      <c r="L565" s="19"/>
      <c r="M565" s="19">
        <v>74295</v>
      </c>
      <c r="N565" s="19"/>
      <c r="O565" s="19">
        <v>0</v>
      </c>
      <c r="P565" s="19"/>
      <c r="Q565" s="19">
        <v>0</v>
      </c>
      <c r="R565" s="6"/>
    </row>
    <row r="566" spans="1:18" s="3" customFormat="1" ht="13.5" customHeight="1">
      <c r="A566" s="19" t="s">
        <v>290</v>
      </c>
      <c r="B566" s="20"/>
      <c r="C566" s="19">
        <v>0</v>
      </c>
      <c r="D566" s="23"/>
      <c r="E566" s="19">
        <v>0</v>
      </c>
      <c r="F566" s="23"/>
      <c r="G566" s="19">
        <v>0</v>
      </c>
      <c r="H566" s="23"/>
      <c r="I566" s="19">
        <v>24482</v>
      </c>
      <c r="J566" s="19"/>
      <c r="K566" s="24">
        <f>IF(SUM(C566:I566)=SUM(M566:Q566),SUM(C566:I566),SUM(M566:Q566)-SUM(C566:I566))</f>
        <v>24482</v>
      </c>
      <c r="L566" s="19"/>
      <c r="M566" s="19">
        <v>0</v>
      </c>
      <c r="N566" s="19"/>
      <c r="O566" s="19">
        <v>24482</v>
      </c>
      <c r="P566" s="19"/>
      <c r="Q566" s="19">
        <v>0</v>
      </c>
      <c r="R566" s="6"/>
    </row>
    <row r="567" spans="1:18" s="4" customFormat="1" ht="13.5" customHeight="1">
      <c r="A567" s="19"/>
      <c r="B567" s="20"/>
      <c r="C567" s="32"/>
      <c r="D567" s="23"/>
      <c r="E567" s="32"/>
      <c r="F567" s="23"/>
      <c r="G567" s="32"/>
      <c r="H567" s="23"/>
      <c r="I567" s="32"/>
      <c r="J567" s="19"/>
      <c r="K567" s="19"/>
      <c r="L567" s="19"/>
      <c r="M567" s="32"/>
      <c r="N567" s="19"/>
      <c r="O567" s="32"/>
      <c r="P567" s="19"/>
      <c r="Q567" s="32"/>
      <c r="R567" s="7"/>
    </row>
    <row r="568" spans="1:18" s="4" customFormat="1" ht="13.5" customHeight="1">
      <c r="A568" s="19" t="s">
        <v>170</v>
      </c>
      <c r="B568" s="20"/>
      <c r="C568" s="21">
        <f>SUM(C562:C567)</f>
        <v>3352</v>
      </c>
      <c r="D568" s="23"/>
      <c r="E568" s="21">
        <f>SUM(E562:E567)</f>
        <v>5063</v>
      </c>
      <c r="F568" s="23"/>
      <c r="G568" s="21">
        <f>SUM(G562:G567)</f>
        <v>102808</v>
      </c>
      <c r="H568" s="23"/>
      <c r="I568" s="21">
        <f>SUM(I562:I567)</f>
        <v>7009189</v>
      </c>
      <c r="J568" s="19"/>
      <c r="K568" s="21">
        <f>SUM(K562:K567)</f>
        <v>7120412</v>
      </c>
      <c r="L568" s="19"/>
      <c r="M568" s="21">
        <f>SUM(M562:M567)</f>
        <v>274775</v>
      </c>
      <c r="N568" s="19"/>
      <c r="O568" s="21">
        <f>SUM(O562:O567)</f>
        <v>6845321</v>
      </c>
      <c r="P568" s="19"/>
      <c r="Q568" s="21">
        <f>SUM(Q562:Q567)</f>
        <v>316</v>
      </c>
      <c r="R568" s="7"/>
    </row>
    <row r="569" spans="1:18" s="4" customFormat="1" ht="13.5" customHeight="1">
      <c r="A569" s="19"/>
      <c r="B569" s="20" t="s">
        <v>13</v>
      </c>
      <c r="C569" s="19"/>
      <c r="D569" s="23"/>
      <c r="E569" s="19"/>
      <c r="F569" s="23"/>
      <c r="G569" s="19"/>
      <c r="H569" s="23"/>
      <c r="I569" s="19"/>
      <c r="J569" s="19"/>
      <c r="K569" s="19"/>
      <c r="L569" s="19"/>
      <c r="M569" s="19"/>
      <c r="N569" s="19"/>
      <c r="O569" s="19"/>
      <c r="P569" s="19"/>
      <c r="Q569" s="19"/>
      <c r="R569" s="7"/>
    </row>
    <row r="570" spans="1:18" s="3" customFormat="1" ht="13.5" customHeight="1">
      <c r="A570" s="19" t="s">
        <v>116</v>
      </c>
      <c r="B570" s="20" t="s">
        <v>13</v>
      </c>
      <c r="C570" s="21">
        <v>2206358</v>
      </c>
      <c r="D570" s="23"/>
      <c r="E570" s="21">
        <v>25812388</v>
      </c>
      <c r="F570" s="23"/>
      <c r="G570" s="21">
        <f>-27500+5794812</f>
        <v>5767312</v>
      </c>
      <c r="H570" s="23"/>
      <c r="I570" s="21">
        <v>6439145</v>
      </c>
      <c r="J570" s="19"/>
      <c r="K570" s="21">
        <f t="shared" si="22"/>
        <v>40225203</v>
      </c>
      <c r="L570" s="19"/>
      <c r="M570" s="24">
        <f>-27500+27500</f>
        <v>0</v>
      </c>
      <c r="N570" s="19"/>
      <c r="O570" s="24">
        <v>40177346</v>
      </c>
      <c r="P570" s="19"/>
      <c r="Q570" s="24">
        <f>1+47856</f>
        <v>47857</v>
      </c>
      <c r="R570" s="6"/>
    </row>
    <row r="571" spans="1:18" s="3" customFormat="1" ht="13.5" customHeight="1">
      <c r="A571" s="19"/>
      <c r="B571" s="20" t="s">
        <v>13</v>
      </c>
      <c r="C571" s="19"/>
      <c r="D571" s="23"/>
      <c r="E571" s="19"/>
      <c r="F571" s="23"/>
      <c r="G571" s="19"/>
      <c r="H571" s="23"/>
      <c r="I571" s="19"/>
      <c r="J571" s="19"/>
      <c r="K571" s="19"/>
      <c r="L571" s="19"/>
      <c r="M571" s="19"/>
      <c r="N571" s="19"/>
      <c r="O571" s="19"/>
      <c r="P571" s="19"/>
      <c r="Q571" s="19"/>
      <c r="R571" s="6"/>
    </row>
    <row r="572" spans="1:18" s="3" customFormat="1" ht="13.5" customHeight="1">
      <c r="A572" s="19" t="s">
        <v>203</v>
      </c>
      <c r="B572" s="20" t="s">
        <v>13</v>
      </c>
      <c r="C572" s="21">
        <f>C159+C311+C433+C490+C524+C559+C568+C570</f>
        <v>42576770</v>
      </c>
      <c r="D572" s="23"/>
      <c r="E572" s="21">
        <f>E159+E311+E433+E490+E524+E559+E568+E570</f>
        <v>99806691</v>
      </c>
      <c r="F572" s="23"/>
      <c r="G572" s="21">
        <f>G159+G311+G433+G490+G524+G559+G568+G570</f>
        <v>37826868</v>
      </c>
      <c r="H572" s="23"/>
      <c r="I572" s="21">
        <f>I159+I311+I433+I490+I524+I559+I568+I570</f>
        <v>72530005</v>
      </c>
      <c r="J572" s="19"/>
      <c r="K572" s="21">
        <f t="shared" si="22"/>
        <v>252740334</v>
      </c>
      <c r="L572" s="19"/>
      <c r="M572" s="21">
        <f>M159+M311+M433+M490+M524+M559+M568+M570</f>
        <v>102169627</v>
      </c>
      <c r="N572" s="19"/>
      <c r="O572" s="21">
        <f>O159+O311+O433+O490+O524+O559+O568+O570</f>
        <v>125769377</v>
      </c>
      <c r="P572" s="19"/>
      <c r="Q572" s="21">
        <f>Q159+Q311+Q433+Q490+Q524+Q559+Q568+Q570</f>
        <v>24801330</v>
      </c>
      <c r="R572" s="6"/>
    </row>
    <row r="573" spans="1:18" s="3" customFormat="1" ht="13.5" customHeight="1">
      <c r="A573" s="19"/>
      <c r="B573" s="20" t="s">
        <v>13</v>
      </c>
      <c r="C573" s="19"/>
      <c r="D573" s="23"/>
      <c r="E573" s="19"/>
      <c r="F573" s="23"/>
      <c r="G573" s="19"/>
      <c r="H573" s="23"/>
      <c r="I573" s="19"/>
      <c r="J573" s="19"/>
      <c r="K573" s="19"/>
      <c r="L573" s="19"/>
      <c r="M573" s="19"/>
      <c r="N573" s="19"/>
      <c r="O573" s="19"/>
      <c r="P573" s="19"/>
      <c r="Q573" s="19"/>
      <c r="R573" s="6"/>
    </row>
    <row r="574" spans="1:18" s="3" customFormat="1" ht="13.5" customHeight="1">
      <c r="A574" s="19" t="s">
        <v>180</v>
      </c>
      <c r="B574" s="20" t="s">
        <v>13</v>
      </c>
      <c r="C574" s="19"/>
      <c r="D574" s="23"/>
      <c r="E574" s="19"/>
      <c r="F574" s="23"/>
      <c r="G574" s="19"/>
      <c r="H574" s="23"/>
      <c r="I574" s="19"/>
      <c r="J574" s="19"/>
      <c r="K574" s="19"/>
      <c r="L574" s="19"/>
      <c r="M574" s="19"/>
      <c r="N574" s="19"/>
      <c r="O574" s="19"/>
      <c r="P574" s="19"/>
      <c r="Q574" s="19"/>
      <c r="R574" s="6"/>
    </row>
    <row r="575" spans="1:18" s="3" customFormat="1" ht="13.5" customHeight="1">
      <c r="A575" s="19" t="s">
        <v>181</v>
      </c>
      <c r="B575" s="20" t="s">
        <v>13</v>
      </c>
      <c r="C575" s="19" t="s">
        <v>13</v>
      </c>
      <c r="D575" s="23"/>
      <c r="E575" s="19" t="s">
        <v>13</v>
      </c>
      <c r="F575" s="23"/>
      <c r="G575" s="19" t="s">
        <v>13</v>
      </c>
      <c r="H575" s="23"/>
      <c r="I575" s="19" t="s">
        <v>13</v>
      </c>
      <c r="J575" s="19"/>
      <c r="K575" s="19"/>
      <c r="L575" s="19"/>
      <c r="M575" s="19" t="s">
        <v>13</v>
      </c>
      <c r="N575" s="19"/>
      <c r="O575" s="19" t="s">
        <v>13</v>
      </c>
      <c r="P575" s="19"/>
      <c r="Q575" s="19" t="s">
        <v>13</v>
      </c>
      <c r="R575" s="6"/>
    </row>
    <row r="576" spans="1:18" s="3" customFormat="1" ht="13.5" customHeight="1">
      <c r="A576" s="19" t="s">
        <v>157</v>
      </c>
      <c r="B576" s="20" t="s">
        <v>13</v>
      </c>
      <c r="C576" s="19">
        <v>0</v>
      </c>
      <c r="D576" s="23"/>
      <c r="E576" s="19">
        <v>0</v>
      </c>
      <c r="F576" s="23"/>
      <c r="G576" s="19">
        <v>0</v>
      </c>
      <c r="H576" s="23"/>
      <c r="I576" s="19">
        <v>6140798</v>
      </c>
      <c r="J576" s="19"/>
      <c r="K576" s="23">
        <f aca="true" t="shared" si="23" ref="K576:K597">IF(SUM(C576:I576)=SUM(M576:Q576),SUM(C576:I576),SUM(M576:Q576)-SUM(C576:I576))</f>
        <v>6140798</v>
      </c>
      <c r="L576" s="19"/>
      <c r="M576" s="19">
        <v>0</v>
      </c>
      <c r="N576" s="19"/>
      <c r="O576" s="19">
        <v>6140798</v>
      </c>
      <c r="P576" s="19"/>
      <c r="Q576" s="19">
        <v>0</v>
      </c>
      <c r="R576" s="6"/>
    </row>
    <row r="577" spans="1:18" s="3" customFormat="1" ht="13.5" customHeight="1">
      <c r="A577" s="19" t="s">
        <v>221</v>
      </c>
      <c r="B577" s="20"/>
      <c r="C577" s="23">
        <v>0</v>
      </c>
      <c r="D577" s="23"/>
      <c r="E577" s="23">
        <v>0</v>
      </c>
      <c r="F577" s="23"/>
      <c r="G577" s="23">
        <v>0</v>
      </c>
      <c r="H577" s="23"/>
      <c r="I577" s="23">
        <v>3025</v>
      </c>
      <c r="J577" s="19"/>
      <c r="K577" s="23">
        <f t="shared" si="23"/>
        <v>3025</v>
      </c>
      <c r="L577" s="19"/>
      <c r="M577" s="24">
        <v>0</v>
      </c>
      <c r="N577" s="19"/>
      <c r="O577" s="24">
        <v>3025</v>
      </c>
      <c r="P577" s="19"/>
      <c r="Q577" s="24">
        <v>0</v>
      </c>
      <c r="R577" s="6"/>
    </row>
    <row r="578" spans="1:18" s="3" customFormat="1" ht="13.5" customHeight="1">
      <c r="A578" s="19" t="s">
        <v>248</v>
      </c>
      <c r="B578" s="20"/>
      <c r="C578" s="34">
        <f>SUM(C576:C577)</f>
        <v>0</v>
      </c>
      <c r="D578" s="23"/>
      <c r="E578" s="34">
        <f>SUM(E576:E577)</f>
        <v>0</v>
      </c>
      <c r="F578" s="23"/>
      <c r="G578" s="34">
        <f>SUM(G576:G577)</f>
        <v>0</v>
      </c>
      <c r="H578" s="23"/>
      <c r="I578" s="34">
        <f>SUM(I576:I577)</f>
        <v>6143823</v>
      </c>
      <c r="J578" s="19"/>
      <c r="K578" s="34">
        <f t="shared" si="23"/>
        <v>6143823</v>
      </c>
      <c r="L578" s="19"/>
      <c r="M578" s="34">
        <f>SUM(M576:M577)</f>
        <v>0</v>
      </c>
      <c r="N578" s="19"/>
      <c r="O578" s="34">
        <f>SUM(O576:O577)</f>
        <v>6143823</v>
      </c>
      <c r="P578" s="19"/>
      <c r="Q578" s="34">
        <f>SUM(Q576:Q577)</f>
        <v>0</v>
      </c>
      <c r="R578" s="6"/>
    </row>
    <row r="579" spans="1:18" s="3" customFormat="1" ht="13.5" customHeight="1">
      <c r="A579" s="19"/>
      <c r="B579" s="20" t="s">
        <v>13</v>
      </c>
      <c r="C579" s="19"/>
      <c r="D579" s="23"/>
      <c r="E579" s="19"/>
      <c r="F579" s="23"/>
      <c r="G579" s="19"/>
      <c r="H579" s="23"/>
      <c r="I579" s="19"/>
      <c r="J579" s="19"/>
      <c r="K579" s="19"/>
      <c r="L579" s="19"/>
      <c r="M579" s="19"/>
      <c r="N579" s="19"/>
      <c r="O579" s="19"/>
      <c r="P579" s="19"/>
      <c r="Q579" s="19"/>
      <c r="R579" s="6"/>
    </row>
    <row r="580" spans="1:18" s="3" customFormat="1" ht="13.5" customHeight="1">
      <c r="A580" s="19" t="s">
        <v>182</v>
      </c>
      <c r="B580" s="20" t="s">
        <v>13</v>
      </c>
      <c r="C580" s="19"/>
      <c r="D580" s="23"/>
      <c r="E580" s="19"/>
      <c r="F580" s="23"/>
      <c r="G580" s="19"/>
      <c r="H580" s="23"/>
      <c r="I580" s="19"/>
      <c r="J580" s="19"/>
      <c r="K580" s="19"/>
      <c r="L580" s="19"/>
      <c r="M580" s="19"/>
      <c r="N580" s="19"/>
      <c r="O580" s="19"/>
      <c r="P580" s="19"/>
      <c r="Q580" s="19"/>
      <c r="R580" s="6"/>
    </row>
    <row r="581" spans="1:18" s="3" customFormat="1" ht="13.5" customHeight="1">
      <c r="A581" s="19" t="s">
        <v>194</v>
      </c>
      <c r="B581" s="20" t="s">
        <v>13</v>
      </c>
      <c r="C581" s="19">
        <v>0</v>
      </c>
      <c r="D581" s="23"/>
      <c r="E581" s="19">
        <v>0</v>
      </c>
      <c r="F581" s="23"/>
      <c r="G581" s="19">
        <v>0</v>
      </c>
      <c r="H581" s="23"/>
      <c r="I581" s="19">
        <v>16232628</v>
      </c>
      <c r="J581" s="19"/>
      <c r="K581" s="19">
        <f t="shared" si="23"/>
        <v>16232628</v>
      </c>
      <c r="L581" s="19"/>
      <c r="M581" s="19">
        <v>0</v>
      </c>
      <c r="N581" s="19"/>
      <c r="O581" s="19">
        <v>16232628</v>
      </c>
      <c r="P581" s="19"/>
      <c r="Q581" s="19">
        <v>0</v>
      </c>
      <c r="R581" s="6"/>
    </row>
    <row r="582" spans="1:18" s="3" customFormat="1" ht="13.5" customHeight="1">
      <c r="A582" s="19" t="s">
        <v>221</v>
      </c>
      <c r="B582" s="20"/>
      <c r="C582" s="21">
        <v>0</v>
      </c>
      <c r="D582" s="23"/>
      <c r="E582" s="21">
        <v>0</v>
      </c>
      <c r="F582" s="23"/>
      <c r="G582" s="21">
        <v>0</v>
      </c>
      <c r="H582" s="23"/>
      <c r="I582" s="21">
        <v>30313</v>
      </c>
      <c r="J582" s="19"/>
      <c r="K582" s="23">
        <f t="shared" si="23"/>
        <v>30313</v>
      </c>
      <c r="L582" s="19"/>
      <c r="M582" s="24">
        <v>0</v>
      </c>
      <c r="N582" s="19"/>
      <c r="O582" s="24">
        <v>30313</v>
      </c>
      <c r="P582" s="19"/>
      <c r="Q582" s="24">
        <v>0</v>
      </c>
      <c r="R582" s="6"/>
    </row>
    <row r="583" spans="1:18" s="3" customFormat="1" ht="13.5" customHeight="1">
      <c r="A583" s="19" t="s">
        <v>183</v>
      </c>
      <c r="B583" s="20" t="s">
        <v>13</v>
      </c>
      <c r="C583" s="21">
        <f>SUM(C581:C582)</f>
        <v>0</v>
      </c>
      <c r="D583" s="23"/>
      <c r="E583" s="21">
        <f>SUM(E581:E582)</f>
        <v>0</v>
      </c>
      <c r="F583" s="23"/>
      <c r="G583" s="21">
        <f>SUM(G581:G582)</f>
        <v>0</v>
      </c>
      <c r="H583" s="23"/>
      <c r="I583" s="21">
        <f>SUM(I581:I582)</f>
        <v>16262941</v>
      </c>
      <c r="J583" s="19"/>
      <c r="K583" s="22">
        <f t="shared" si="23"/>
        <v>16262941</v>
      </c>
      <c r="L583" s="19"/>
      <c r="M583" s="21">
        <f>SUM(M581:M582)</f>
        <v>0</v>
      </c>
      <c r="N583" s="19"/>
      <c r="O583" s="21">
        <f>SUM(O581:O582)</f>
        <v>16262941</v>
      </c>
      <c r="P583" s="19"/>
      <c r="Q583" s="21">
        <f>SUM(Q581:Q582)</f>
        <v>0</v>
      </c>
      <c r="R583" s="6"/>
    </row>
    <row r="584" spans="1:18" s="3" customFormat="1" ht="13.5" customHeight="1">
      <c r="A584" s="19"/>
      <c r="B584" s="20"/>
      <c r="C584" s="19"/>
      <c r="D584" s="23"/>
      <c r="E584" s="19"/>
      <c r="F584" s="23"/>
      <c r="G584" s="19"/>
      <c r="H584" s="23"/>
      <c r="I584" s="19"/>
      <c r="J584" s="19"/>
      <c r="K584" s="19"/>
      <c r="L584" s="19"/>
      <c r="M584" s="19"/>
      <c r="N584" s="19"/>
      <c r="O584" s="19"/>
      <c r="P584" s="19"/>
      <c r="Q584" s="19"/>
      <c r="R584" s="6"/>
    </row>
    <row r="585" spans="1:18" s="3" customFormat="1" ht="13.5" customHeight="1">
      <c r="A585" s="19" t="s">
        <v>171</v>
      </c>
      <c r="B585" s="20" t="s">
        <v>13</v>
      </c>
      <c r="C585" s="21">
        <f>C578+C583</f>
        <v>0</v>
      </c>
      <c r="D585" s="23"/>
      <c r="E585" s="21">
        <f>E578+E583</f>
        <v>0</v>
      </c>
      <c r="F585" s="23"/>
      <c r="G585" s="21">
        <f>G578+G583</f>
        <v>0</v>
      </c>
      <c r="H585" s="23"/>
      <c r="I585" s="21">
        <f>I578+I583</f>
        <v>22406764</v>
      </c>
      <c r="J585" s="19"/>
      <c r="K585" s="21">
        <f t="shared" si="23"/>
        <v>22406764</v>
      </c>
      <c r="L585" s="19"/>
      <c r="M585" s="21">
        <f>M578+M583</f>
        <v>0</v>
      </c>
      <c r="N585" s="19"/>
      <c r="O585" s="21">
        <f>O578+O583</f>
        <v>22406764</v>
      </c>
      <c r="P585" s="19"/>
      <c r="Q585" s="21">
        <f>Q578+Q583</f>
        <v>0</v>
      </c>
      <c r="R585" s="6"/>
    </row>
    <row r="586" spans="1:18" s="3" customFormat="1" ht="13.5" customHeight="1">
      <c r="A586" s="19"/>
      <c r="B586" s="20" t="s">
        <v>13</v>
      </c>
      <c r="C586" s="19"/>
      <c r="D586" s="23"/>
      <c r="E586" s="19"/>
      <c r="F586" s="23"/>
      <c r="G586" s="19"/>
      <c r="H586" s="23"/>
      <c r="I586" s="19"/>
      <c r="J586" s="19"/>
      <c r="K586" s="19"/>
      <c r="L586" s="19"/>
      <c r="M586" s="19"/>
      <c r="N586" s="19"/>
      <c r="O586" s="19"/>
      <c r="P586" s="19"/>
      <c r="Q586" s="19"/>
      <c r="R586" s="6"/>
    </row>
    <row r="587" spans="1:18" s="3" customFormat="1" ht="13.5" customHeight="1">
      <c r="A587" s="19" t="s">
        <v>202</v>
      </c>
      <c r="B587" s="20" t="s">
        <v>13</v>
      </c>
      <c r="C587" s="21">
        <f>C572+C585</f>
        <v>42576770</v>
      </c>
      <c r="D587" s="23"/>
      <c r="E587" s="21">
        <f>E572+E585</f>
        <v>99806691</v>
      </c>
      <c r="F587" s="23"/>
      <c r="G587" s="21">
        <f>G572+G585</f>
        <v>37826868</v>
      </c>
      <c r="H587" s="23"/>
      <c r="I587" s="21">
        <f>I572+I585</f>
        <v>94936769</v>
      </c>
      <c r="J587" s="19"/>
      <c r="K587" s="21">
        <f>IF(SUM(C587:I587)=SUM(M587:Q587),SUM(C587:I587),SUM(M587:Q587)-SUM(C587:I587))</f>
        <v>275147098</v>
      </c>
      <c r="L587" s="19"/>
      <c r="M587" s="21">
        <f>M572+M585</f>
        <v>102169627</v>
      </c>
      <c r="N587" s="19"/>
      <c r="O587" s="21">
        <f>O572+O585</f>
        <v>148176141</v>
      </c>
      <c r="P587" s="19"/>
      <c r="Q587" s="21">
        <f>Q572+Q585</f>
        <v>24801330</v>
      </c>
      <c r="R587" s="6"/>
    </row>
    <row r="588" spans="1:18" s="3" customFormat="1" ht="13.5" customHeight="1">
      <c r="A588" s="19"/>
      <c r="B588" s="20" t="s">
        <v>13</v>
      </c>
      <c r="C588" s="19"/>
      <c r="D588" s="23"/>
      <c r="E588" s="19"/>
      <c r="F588" s="23"/>
      <c r="G588" s="19"/>
      <c r="H588" s="23"/>
      <c r="I588" s="19"/>
      <c r="J588" s="19"/>
      <c r="K588" s="19"/>
      <c r="L588" s="19"/>
      <c r="M588" s="19"/>
      <c r="N588" s="19"/>
      <c r="O588" s="19"/>
      <c r="P588" s="19"/>
      <c r="Q588" s="19"/>
      <c r="R588" s="6"/>
    </row>
    <row r="589" spans="1:18" s="3" customFormat="1" ht="13.5" customHeight="1">
      <c r="A589" s="19" t="s">
        <v>29</v>
      </c>
      <c r="B589" s="20" t="s">
        <v>13</v>
      </c>
      <c r="C589" s="19" t="s">
        <v>13</v>
      </c>
      <c r="D589" s="23"/>
      <c r="E589" s="19" t="s">
        <v>13</v>
      </c>
      <c r="F589" s="23"/>
      <c r="G589" s="19" t="s">
        <v>13</v>
      </c>
      <c r="H589" s="23"/>
      <c r="I589" s="19" t="s">
        <v>13</v>
      </c>
      <c r="J589" s="19"/>
      <c r="K589" s="19"/>
      <c r="L589" s="19"/>
      <c r="M589" s="19" t="s">
        <v>13</v>
      </c>
      <c r="N589" s="19"/>
      <c r="O589" s="19" t="s">
        <v>13</v>
      </c>
      <c r="P589" s="19"/>
      <c r="Q589" s="19" t="s">
        <v>13</v>
      </c>
      <c r="R589" s="6"/>
    </row>
    <row r="590" spans="1:18" s="3" customFormat="1" ht="13.5" customHeight="1">
      <c r="A590" s="19" t="s">
        <v>184</v>
      </c>
      <c r="B590" s="20" t="s">
        <v>13</v>
      </c>
      <c r="C590" s="19">
        <v>0</v>
      </c>
      <c r="D590" s="23"/>
      <c r="E590" s="19">
        <v>0</v>
      </c>
      <c r="F590" s="23"/>
      <c r="G590" s="19">
        <v>0</v>
      </c>
      <c r="H590" s="23"/>
      <c r="I590" s="19">
        <v>177707998</v>
      </c>
      <c r="J590" s="19"/>
      <c r="K590" s="19">
        <f t="shared" si="23"/>
        <v>177707998</v>
      </c>
      <c r="L590" s="19"/>
      <c r="M590" s="19">
        <f>15256705+49987154</f>
        <v>65243859</v>
      </c>
      <c r="N590" s="19"/>
      <c r="O590" s="19">
        <f>-15256705+1+127720843</f>
        <v>112464139</v>
      </c>
      <c r="P590" s="19"/>
      <c r="Q590" s="19">
        <v>0</v>
      </c>
      <c r="R590" s="6"/>
    </row>
    <row r="591" spans="1:18" s="3" customFormat="1" ht="13.5" customHeight="1">
      <c r="A591" s="19" t="s">
        <v>261</v>
      </c>
      <c r="B591" s="20" t="s">
        <v>13</v>
      </c>
      <c r="C591" s="19"/>
      <c r="D591" s="23"/>
      <c r="E591" s="19"/>
      <c r="F591" s="23"/>
      <c r="G591" s="19"/>
      <c r="H591" s="23"/>
      <c r="I591" s="19"/>
      <c r="J591" s="19"/>
      <c r="K591" s="19"/>
      <c r="L591" s="19"/>
      <c r="M591" s="19"/>
      <c r="N591" s="19"/>
      <c r="O591" s="19"/>
      <c r="P591" s="19"/>
      <c r="Q591" s="19"/>
      <c r="R591" s="6"/>
    </row>
    <row r="592" spans="1:18" s="3" customFormat="1" ht="13.5" customHeight="1">
      <c r="A592" s="19" t="s">
        <v>260</v>
      </c>
      <c r="B592" s="20"/>
      <c r="C592" s="19">
        <v>0</v>
      </c>
      <c r="D592" s="23"/>
      <c r="E592" s="19">
        <v>0</v>
      </c>
      <c r="F592" s="23"/>
      <c r="G592" s="19">
        <v>0</v>
      </c>
      <c r="H592" s="23"/>
      <c r="I592" s="19">
        <v>24821279</v>
      </c>
      <c r="J592" s="19"/>
      <c r="K592" s="19">
        <f t="shared" si="23"/>
        <v>24821279</v>
      </c>
      <c r="L592" s="19"/>
      <c r="M592" s="19">
        <v>0</v>
      </c>
      <c r="N592" s="19"/>
      <c r="O592" s="19">
        <v>24821279</v>
      </c>
      <c r="P592" s="19"/>
      <c r="Q592" s="19">
        <v>0</v>
      </c>
      <c r="R592" s="6"/>
    </row>
    <row r="593" spans="1:18" s="3" customFormat="1" ht="13.5" customHeight="1">
      <c r="A593" s="19" t="s">
        <v>262</v>
      </c>
      <c r="B593" s="20" t="s">
        <v>13</v>
      </c>
      <c r="C593" s="19"/>
      <c r="D593" s="23"/>
      <c r="E593" s="19"/>
      <c r="F593" s="23"/>
      <c r="G593" s="19"/>
      <c r="H593" s="23"/>
      <c r="I593" s="19"/>
      <c r="J593" s="19"/>
      <c r="K593" s="19"/>
      <c r="L593" s="19"/>
      <c r="M593" s="19"/>
      <c r="N593" s="19"/>
      <c r="O593" s="19"/>
      <c r="P593" s="19"/>
      <c r="Q593" s="19"/>
      <c r="R593" s="6"/>
    </row>
    <row r="594" spans="1:18" s="3" customFormat="1" ht="13.5" customHeight="1">
      <c r="A594" s="19" t="s">
        <v>186</v>
      </c>
      <c r="B594" s="20" t="s">
        <v>13</v>
      </c>
      <c r="C594" s="21">
        <v>0</v>
      </c>
      <c r="D594" s="23"/>
      <c r="E594" s="21">
        <v>0</v>
      </c>
      <c r="F594" s="23"/>
      <c r="G594" s="21">
        <v>0</v>
      </c>
      <c r="H594" s="23"/>
      <c r="I594" s="21">
        <v>1013449</v>
      </c>
      <c r="J594" s="19"/>
      <c r="K594" s="21">
        <f t="shared" si="23"/>
        <v>1013449</v>
      </c>
      <c r="L594" s="19"/>
      <c r="M594" s="21">
        <v>0</v>
      </c>
      <c r="N594" s="19"/>
      <c r="O594" s="21">
        <v>1013449</v>
      </c>
      <c r="P594" s="19"/>
      <c r="Q594" s="21">
        <v>0</v>
      </c>
      <c r="R594" s="6"/>
    </row>
    <row r="595" spans="1:18" s="3" customFormat="1" ht="13.5" customHeight="1">
      <c r="A595" s="19" t="s">
        <v>178</v>
      </c>
      <c r="B595" s="20" t="s">
        <v>13</v>
      </c>
      <c r="C595" s="21">
        <f>SUM(C590:C594)</f>
        <v>0</v>
      </c>
      <c r="D595" s="23"/>
      <c r="E595" s="21">
        <f>SUM(E590:E594)</f>
        <v>0</v>
      </c>
      <c r="F595" s="23"/>
      <c r="G595" s="21">
        <f>SUM(G590:G594)</f>
        <v>0</v>
      </c>
      <c r="H595" s="23"/>
      <c r="I595" s="21">
        <f>SUM(I590:I594)</f>
        <v>203542726</v>
      </c>
      <c r="J595" s="19"/>
      <c r="K595" s="22">
        <f t="shared" si="23"/>
        <v>203542726</v>
      </c>
      <c r="L595" s="19"/>
      <c r="M595" s="21">
        <f>SUM(M590:M594)</f>
        <v>65243859</v>
      </c>
      <c r="N595" s="19"/>
      <c r="O595" s="21">
        <f>SUM(O590:O594)</f>
        <v>138298867</v>
      </c>
      <c r="P595" s="19"/>
      <c r="Q595" s="21">
        <f>SUM(Q590:Q594)</f>
        <v>0</v>
      </c>
      <c r="R595" s="6"/>
    </row>
    <row r="596" spans="1:18" s="3" customFormat="1" ht="13.5" customHeight="1">
      <c r="A596" s="19"/>
      <c r="B596" s="20" t="s">
        <v>13</v>
      </c>
      <c r="C596" s="19"/>
      <c r="D596" s="23"/>
      <c r="E596" s="19"/>
      <c r="F596" s="23"/>
      <c r="G596" s="19"/>
      <c r="H596" s="23"/>
      <c r="I596" s="19"/>
      <c r="J596" s="19"/>
      <c r="K596" s="19"/>
      <c r="L596" s="19"/>
      <c r="M596" s="19"/>
      <c r="N596" s="19"/>
      <c r="O596" s="19"/>
      <c r="P596" s="19"/>
      <c r="Q596" s="19"/>
      <c r="R596" s="6"/>
    </row>
    <row r="597" spans="1:18" s="3" customFormat="1" ht="13.5" customHeight="1" thickBot="1">
      <c r="A597" s="19" t="s">
        <v>179</v>
      </c>
      <c r="B597" s="20" t="s">
        <v>13</v>
      </c>
      <c r="C597" s="27">
        <f>+C587+C595</f>
        <v>42576770</v>
      </c>
      <c r="D597" s="23"/>
      <c r="E597" s="27">
        <f>+E587+E595</f>
        <v>99806691</v>
      </c>
      <c r="F597" s="23"/>
      <c r="G597" s="27">
        <f>+G587+G595</f>
        <v>37826868</v>
      </c>
      <c r="H597" s="23"/>
      <c r="I597" s="27">
        <f>+I587+I595</f>
        <v>298479495</v>
      </c>
      <c r="J597" s="19"/>
      <c r="K597" s="33">
        <f t="shared" si="23"/>
        <v>478689824</v>
      </c>
      <c r="L597" s="19"/>
      <c r="M597" s="27">
        <f>+M587+M595</f>
        <v>167413486</v>
      </c>
      <c r="N597" s="19"/>
      <c r="O597" s="27">
        <f>+O587+O595</f>
        <v>286475008</v>
      </c>
      <c r="P597" s="19"/>
      <c r="Q597" s="27">
        <f>+Q587+Q595</f>
        <v>24801330</v>
      </c>
      <c r="R597" s="6"/>
    </row>
    <row r="598" spans="4:18" s="3" customFormat="1" ht="13.5" customHeight="1" thickTop="1">
      <c r="D598" s="4"/>
      <c r="F598" s="4"/>
      <c r="H598" s="4"/>
      <c r="R598" s="6"/>
    </row>
    <row r="599" spans="1:18" s="3" customFormat="1" ht="13.5" customHeight="1">
      <c r="A599" s="2"/>
      <c r="B599" s="2"/>
      <c r="C599" s="2"/>
      <c r="D599" s="38"/>
      <c r="E599" s="2"/>
      <c r="F599" s="38"/>
      <c r="G599" s="2"/>
      <c r="H599" s="38"/>
      <c r="I599" s="2"/>
      <c r="J599" s="2"/>
      <c r="K599" s="2"/>
      <c r="L599" s="2"/>
      <c r="M599" s="2"/>
      <c r="N599" s="2"/>
      <c r="O599" s="2"/>
      <c r="P599" s="2"/>
      <c r="Q599" s="2"/>
      <c r="R599" s="6"/>
    </row>
    <row r="600" spans="1:43" s="3" customFormat="1" ht="13.5" customHeight="1">
      <c r="A600" s="1"/>
      <c r="B600" s="1"/>
      <c r="C600" s="1"/>
      <c r="D600" s="36"/>
      <c r="E600" s="1"/>
      <c r="F600" s="36"/>
      <c r="G600" s="1"/>
      <c r="H600" s="36"/>
      <c r="I600" s="1"/>
      <c r="J600" s="1"/>
      <c r="K600" s="1"/>
      <c r="L600" s="1"/>
      <c r="M600" s="1"/>
      <c r="N600" s="1"/>
      <c r="O600" s="1"/>
      <c r="P600" s="1"/>
      <c r="Q600" s="1"/>
      <c r="R600" s="6" t="s">
        <v>13</v>
      </c>
      <c r="S600" s="3" t="s">
        <v>13</v>
      </c>
      <c r="T600" s="3" t="s">
        <v>13</v>
      </c>
      <c r="U600" s="3" t="s">
        <v>13</v>
      </c>
      <c r="V600" s="3" t="s">
        <v>13</v>
      </c>
      <c r="W600" s="3" t="s">
        <v>13</v>
      </c>
      <c r="X600" s="3" t="s">
        <v>13</v>
      </c>
      <c r="Y600" s="3" t="s">
        <v>13</v>
      </c>
      <c r="Z600" s="3" t="s">
        <v>13</v>
      </c>
      <c r="AA600" s="3" t="s">
        <v>13</v>
      </c>
      <c r="AB600" s="3" t="s">
        <v>13</v>
      </c>
      <c r="AC600" s="3" t="s">
        <v>13</v>
      </c>
      <c r="AD600" s="3" t="s">
        <v>13</v>
      </c>
      <c r="AE600" s="3" t="s">
        <v>13</v>
      </c>
      <c r="AF600" s="3" t="s">
        <v>13</v>
      </c>
      <c r="AG600" s="3" t="s">
        <v>13</v>
      </c>
      <c r="AH600" s="3" t="s">
        <v>13</v>
      </c>
      <c r="AI600" s="3" t="s">
        <v>13</v>
      </c>
      <c r="AJ600" s="3" t="s">
        <v>13</v>
      </c>
      <c r="AK600" s="3" t="s">
        <v>13</v>
      </c>
      <c r="AL600" s="3" t="s">
        <v>13</v>
      </c>
      <c r="AM600" s="3" t="s">
        <v>13</v>
      </c>
      <c r="AN600" s="3" t="s">
        <v>13</v>
      </c>
      <c r="AO600" s="3" t="s">
        <v>13</v>
      </c>
      <c r="AP600" s="3" t="s">
        <v>13</v>
      </c>
      <c r="AQ600" s="3" t="s">
        <v>13</v>
      </c>
    </row>
    <row r="601" spans="1:18" s="3" customFormat="1" ht="13.5" customHeight="1">
      <c r="A601" s="1"/>
      <c r="B601" s="1"/>
      <c r="C601" s="1"/>
      <c r="D601" s="36"/>
      <c r="E601" s="1"/>
      <c r="F601" s="36"/>
      <c r="G601" s="1"/>
      <c r="H601" s="36"/>
      <c r="I601" s="1"/>
      <c r="J601" s="1"/>
      <c r="K601" s="1"/>
      <c r="L601" s="1"/>
      <c r="M601" s="1"/>
      <c r="N601" s="1"/>
      <c r="O601" s="1"/>
      <c r="P601" s="1"/>
      <c r="Q601" s="1"/>
      <c r="R601" s="6"/>
    </row>
    <row r="602" spans="1:18" s="3" customFormat="1" ht="13.5" customHeight="1">
      <c r="A602" s="1"/>
      <c r="B602" s="1"/>
      <c r="C602" s="1"/>
      <c r="D602" s="36"/>
      <c r="E602" s="1"/>
      <c r="F602" s="36"/>
      <c r="G602" s="1"/>
      <c r="H602" s="36"/>
      <c r="I602" s="1"/>
      <c r="J602" s="1"/>
      <c r="K602" s="1"/>
      <c r="L602" s="1"/>
      <c r="M602" s="1"/>
      <c r="N602" s="1"/>
      <c r="O602" s="1"/>
      <c r="P602" s="1"/>
      <c r="Q602" s="1"/>
      <c r="R602" s="6"/>
    </row>
    <row r="603" spans="1:18" s="3" customFormat="1" ht="13.5" customHeight="1">
      <c r="A603" s="1"/>
      <c r="B603" s="1"/>
      <c r="C603" s="1"/>
      <c r="D603" s="36"/>
      <c r="E603" s="1"/>
      <c r="F603" s="36"/>
      <c r="G603" s="1"/>
      <c r="H603" s="36"/>
      <c r="I603" s="1"/>
      <c r="J603" s="1"/>
      <c r="K603" s="1"/>
      <c r="L603" s="1"/>
      <c r="M603" s="1"/>
      <c r="N603" s="1"/>
      <c r="O603" s="1"/>
      <c r="P603" s="1"/>
      <c r="Q603" s="1"/>
      <c r="R603" s="6"/>
    </row>
    <row r="604" spans="1:18" s="3" customFormat="1" ht="13.5" customHeight="1">
      <c r="A604" s="1"/>
      <c r="B604" s="1"/>
      <c r="C604" s="1"/>
      <c r="D604" s="36"/>
      <c r="E604" s="1"/>
      <c r="F604" s="36"/>
      <c r="G604" s="1"/>
      <c r="H604" s="36"/>
      <c r="I604" s="1"/>
      <c r="J604" s="1"/>
      <c r="K604" s="1"/>
      <c r="L604" s="1"/>
      <c r="M604" s="1"/>
      <c r="N604" s="1"/>
      <c r="O604" s="1"/>
      <c r="P604" s="1"/>
      <c r="Q604" s="1"/>
      <c r="R604" s="6"/>
    </row>
    <row r="605" spans="1:18" s="3" customFormat="1" ht="13.5" customHeight="1">
      <c r="A605" s="1"/>
      <c r="B605" s="1"/>
      <c r="C605" s="1"/>
      <c r="D605" s="36"/>
      <c r="E605" s="1"/>
      <c r="F605" s="36"/>
      <c r="G605" s="1"/>
      <c r="H605" s="36"/>
      <c r="I605" s="1"/>
      <c r="J605" s="1"/>
      <c r="K605" s="1"/>
      <c r="L605" s="1"/>
      <c r="M605" s="1"/>
      <c r="N605" s="1"/>
      <c r="O605" s="1"/>
      <c r="P605" s="1"/>
      <c r="Q605" s="1"/>
      <c r="R605" s="6"/>
    </row>
    <row r="606" spans="1:18" s="3" customFormat="1" ht="13.5" customHeight="1">
      <c r="A606" s="1"/>
      <c r="B606" s="1"/>
      <c r="C606" s="1"/>
      <c r="D606" s="36"/>
      <c r="E606" s="1"/>
      <c r="F606" s="36"/>
      <c r="G606" s="1"/>
      <c r="H606" s="36"/>
      <c r="I606" s="1"/>
      <c r="J606" s="1"/>
      <c r="K606" s="1"/>
      <c r="L606" s="1"/>
      <c r="M606" s="1"/>
      <c r="N606" s="1"/>
      <c r="O606" s="1"/>
      <c r="P606" s="1"/>
      <c r="Q606" s="1"/>
      <c r="R606" s="6"/>
    </row>
    <row r="607" spans="1:18" s="3" customFormat="1" ht="12">
      <c r="A607" s="1"/>
      <c r="B607" s="1"/>
      <c r="C607" s="1"/>
      <c r="D607" s="36"/>
      <c r="E607" s="1"/>
      <c r="F607" s="36"/>
      <c r="G607" s="1"/>
      <c r="H607" s="36"/>
      <c r="I607" s="1"/>
      <c r="J607" s="1"/>
      <c r="K607" s="1"/>
      <c r="L607" s="1"/>
      <c r="M607" s="1"/>
      <c r="N607" s="1"/>
      <c r="O607" s="1"/>
      <c r="P607" s="1"/>
      <c r="Q607" s="1"/>
      <c r="R607" s="6"/>
    </row>
    <row r="608" spans="18:256" ht="12">
      <c r="R608" s="8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</sheetData>
  <sheetProtection/>
  <mergeCells count="5">
    <mergeCell ref="C4:O4"/>
    <mergeCell ref="C3:Q3"/>
    <mergeCell ref="C5:Q5"/>
    <mergeCell ref="C6:Q6"/>
    <mergeCell ref="A3:A6"/>
  </mergeCells>
  <conditionalFormatting sqref="K1:K2 K4 C159:I159 K159:O159 Q159 K380:K383 L25 K109:K112 K260:K289 K293:K295 K392:K404 K7:K52 K54:K98 K114:K229 K231:K248 K299:K316 K320:K370 K385:K389 K406 K408:K430 K432:K455 K457:K461 L516 K463:K65536">
    <cfRule type="cellIs" priority="81" dxfId="1" operator="equal">
      <formula>1</formula>
    </cfRule>
  </conditionalFormatting>
  <conditionalFormatting sqref="A380:Q383 A293:Q295 A392:Q404 A16:Q52 A54:Q112 A114:Q229 A231:Q257 A259:Q289 A299:Q316 A320:Q370 A385:Q389 A406:Q406 A408:Q430 A432:Q455 A457:Q461 A463:Q597">
    <cfRule type="expression" priority="82" dxfId="0" stopIfTrue="1">
      <formula>MOD(ROW(),2)=0</formula>
    </cfRule>
  </conditionalFormatting>
  <conditionalFormatting sqref="K249:K257 K99:K108 K259">
    <cfRule type="cellIs" priority="54" dxfId="45" operator="equal" stopIfTrue="1">
      <formula>-1</formula>
    </cfRule>
    <cfRule type="cellIs" priority="55" dxfId="45" operator="equal">
      <formula>1</formula>
    </cfRule>
  </conditionalFormatting>
  <conditionalFormatting sqref="K371:K379">
    <cfRule type="cellIs" priority="48" dxfId="45" operator="equal" stopIfTrue="1">
      <formula>-1</formula>
    </cfRule>
    <cfRule type="cellIs" priority="49" dxfId="45" operator="equal">
      <formula>1</formula>
    </cfRule>
  </conditionalFormatting>
  <conditionalFormatting sqref="A371:Q379">
    <cfRule type="expression" priority="50" dxfId="0" stopIfTrue="1">
      <formula>MOD(ROW(),2)=0</formula>
    </cfRule>
  </conditionalFormatting>
  <conditionalFormatting sqref="K390:K391">
    <cfRule type="cellIs" priority="45" dxfId="45" operator="equal" stopIfTrue="1">
      <formula>-1</formula>
    </cfRule>
    <cfRule type="cellIs" priority="46" dxfId="45" operator="equal">
      <formula>1</formula>
    </cfRule>
  </conditionalFormatting>
  <conditionalFormatting sqref="A390:Q391">
    <cfRule type="expression" priority="47" dxfId="0" stopIfTrue="1">
      <formula>MOD(ROW(),2)=0</formula>
    </cfRule>
  </conditionalFormatting>
  <conditionalFormatting sqref="K53">
    <cfRule type="cellIs" priority="42" dxfId="6" operator="equal" stopIfTrue="1">
      <formula>-1</formula>
    </cfRule>
    <cfRule type="cellIs" priority="43" dxfId="1" operator="equal">
      <formula>1</formula>
    </cfRule>
  </conditionalFormatting>
  <conditionalFormatting sqref="A53:Q53">
    <cfRule type="expression" priority="44" dxfId="0" stopIfTrue="1">
      <formula>MOD(ROW(),2)=0</formula>
    </cfRule>
  </conditionalFormatting>
  <conditionalFormatting sqref="K290">
    <cfRule type="cellIs" priority="39" dxfId="6" operator="equal" stopIfTrue="1">
      <formula>-1</formula>
    </cfRule>
    <cfRule type="cellIs" priority="40" dxfId="1" operator="equal">
      <formula>1</formula>
    </cfRule>
  </conditionalFormatting>
  <conditionalFormatting sqref="A290:Q290">
    <cfRule type="expression" priority="41" dxfId="0" stopIfTrue="1">
      <formula>MOD(ROW(),2)=0</formula>
    </cfRule>
  </conditionalFormatting>
  <conditionalFormatting sqref="K291:K292">
    <cfRule type="cellIs" priority="36" dxfId="6" operator="equal" stopIfTrue="1">
      <formula>-1</formula>
    </cfRule>
    <cfRule type="cellIs" priority="37" dxfId="1" operator="equal">
      <formula>1</formula>
    </cfRule>
  </conditionalFormatting>
  <conditionalFormatting sqref="A291:Q292">
    <cfRule type="expression" priority="38" dxfId="0" stopIfTrue="1">
      <formula>MOD(ROW(),2)=0</formula>
    </cfRule>
  </conditionalFormatting>
  <conditionalFormatting sqref="K296:K297">
    <cfRule type="cellIs" priority="33" dxfId="6" operator="equal" stopIfTrue="1">
      <formula>-1</formula>
    </cfRule>
    <cfRule type="cellIs" priority="34" dxfId="1" operator="equal">
      <formula>1</formula>
    </cfRule>
  </conditionalFormatting>
  <conditionalFormatting sqref="A296:Q297">
    <cfRule type="expression" priority="35" dxfId="0" stopIfTrue="1">
      <formula>MOD(ROW(),2)=0</formula>
    </cfRule>
  </conditionalFormatting>
  <conditionalFormatting sqref="K317:K318">
    <cfRule type="cellIs" priority="30" dxfId="6" operator="equal" stopIfTrue="1">
      <formula>-1</formula>
    </cfRule>
    <cfRule type="cellIs" priority="31" dxfId="1" operator="equal">
      <formula>1</formula>
    </cfRule>
  </conditionalFormatting>
  <conditionalFormatting sqref="A317:Q318">
    <cfRule type="expression" priority="32" dxfId="0" stopIfTrue="1">
      <formula>MOD(ROW(),2)=0</formula>
    </cfRule>
  </conditionalFormatting>
  <conditionalFormatting sqref="K319">
    <cfRule type="cellIs" priority="27" dxfId="6" operator="equal" stopIfTrue="1">
      <formula>-1</formula>
    </cfRule>
    <cfRule type="cellIs" priority="28" dxfId="1" operator="equal">
      <formula>1</formula>
    </cfRule>
  </conditionalFormatting>
  <conditionalFormatting sqref="A319:Q319">
    <cfRule type="expression" priority="29" dxfId="0" stopIfTrue="1">
      <formula>MOD(ROW(),2)=0</formula>
    </cfRule>
  </conditionalFormatting>
  <conditionalFormatting sqref="K407">
    <cfRule type="cellIs" priority="24" dxfId="6" operator="equal" stopIfTrue="1">
      <formula>-1</formula>
    </cfRule>
    <cfRule type="cellIs" priority="25" dxfId="1" operator="equal">
      <formula>1</formula>
    </cfRule>
  </conditionalFormatting>
  <conditionalFormatting sqref="A407:Q407">
    <cfRule type="expression" priority="26" dxfId="0" stopIfTrue="1">
      <formula>MOD(ROW(),2)=0</formula>
    </cfRule>
  </conditionalFormatting>
  <conditionalFormatting sqref="K113">
    <cfRule type="cellIs" priority="21" dxfId="6" operator="equal" stopIfTrue="1">
      <formula>-1</formula>
    </cfRule>
    <cfRule type="cellIs" priority="22" dxfId="1" operator="equal">
      <formula>1</formula>
    </cfRule>
  </conditionalFormatting>
  <conditionalFormatting sqref="A113:Q113">
    <cfRule type="expression" priority="23" dxfId="0" stopIfTrue="1">
      <formula>MOD(ROW(),2)=0</formula>
    </cfRule>
  </conditionalFormatting>
  <conditionalFormatting sqref="K230">
    <cfRule type="cellIs" priority="18" dxfId="6" operator="equal" stopIfTrue="1">
      <formula>-1</formula>
    </cfRule>
    <cfRule type="cellIs" priority="19" dxfId="1" operator="equal">
      <formula>1</formula>
    </cfRule>
  </conditionalFormatting>
  <conditionalFormatting sqref="A230:Q230">
    <cfRule type="expression" priority="20" dxfId="0" stopIfTrue="1">
      <formula>MOD(ROW(),2)=0</formula>
    </cfRule>
  </conditionalFormatting>
  <conditionalFormatting sqref="K258">
    <cfRule type="cellIs" priority="15" dxfId="6" operator="equal" stopIfTrue="1">
      <formula>-1</formula>
    </cfRule>
    <cfRule type="cellIs" priority="16" dxfId="1" operator="equal">
      <formula>1</formula>
    </cfRule>
  </conditionalFormatting>
  <conditionalFormatting sqref="A258:Q258">
    <cfRule type="expression" priority="17" dxfId="0" stopIfTrue="1">
      <formula>MOD(ROW(),2)=0</formula>
    </cfRule>
  </conditionalFormatting>
  <conditionalFormatting sqref="K298">
    <cfRule type="cellIs" priority="12" dxfId="6" operator="equal" stopIfTrue="1">
      <formula>-1</formula>
    </cfRule>
    <cfRule type="cellIs" priority="13" dxfId="1" operator="equal">
      <formula>1</formula>
    </cfRule>
  </conditionalFormatting>
  <conditionalFormatting sqref="A298:Q298">
    <cfRule type="expression" priority="14" dxfId="0" stopIfTrue="1">
      <formula>MOD(ROW(),2)=0</formula>
    </cfRule>
  </conditionalFormatting>
  <conditionalFormatting sqref="K384">
    <cfRule type="cellIs" priority="10" dxfId="1" operator="equal">
      <formula>1</formula>
    </cfRule>
  </conditionalFormatting>
  <conditionalFormatting sqref="A384:Q384">
    <cfRule type="expression" priority="11" dxfId="0" stopIfTrue="1">
      <formula>MOD(ROW(),2)=0</formula>
    </cfRule>
  </conditionalFormatting>
  <conditionalFormatting sqref="K405">
    <cfRule type="cellIs" priority="8" dxfId="1" operator="equal">
      <formula>1</formula>
    </cfRule>
  </conditionalFormatting>
  <conditionalFormatting sqref="A405:Q405">
    <cfRule type="expression" priority="9" dxfId="0" stopIfTrue="1">
      <formula>MOD(ROW(),2)=0</formula>
    </cfRule>
  </conditionalFormatting>
  <conditionalFormatting sqref="K431">
    <cfRule type="cellIs" priority="5" dxfId="6" operator="equal" stopIfTrue="1">
      <formula>-1</formula>
    </cfRule>
    <cfRule type="cellIs" priority="6" dxfId="1" operator="equal">
      <formula>1</formula>
    </cfRule>
  </conditionalFormatting>
  <conditionalFormatting sqref="A431:Q431">
    <cfRule type="expression" priority="7" dxfId="0" stopIfTrue="1">
      <formula>MOD(ROW(),2)=0</formula>
    </cfRule>
  </conditionalFormatting>
  <conditionalFormatting sqref="K456">
    <cfRule type="cellIs" priority="3" dxfId="1" operator="equal">
      <formula>1</formula>
    </cfRule>
  </conditionalFormatting>
  <conditionalFormatting sqref="A456:Q456">
    <cfRule type="expression" priority="4" dxfId="0" stopIfTrue="1">
      <formula>MOD(ROW(),2)=0</formula>
    </cfRule>
  </conditionalFormatting>
  <conditionalFormatting sqref="K462">
    <cfRule type="cellIs" priority="1" dxfId="1" operator="equal">
      <formula>1</formula>
    </cfRule>
  </conditionalFormatting>
  <conditionalFormatting sqref="A462:Q462">
    <cfRule type="expression" priority="2" dxfId="0" stopIfTrue="1">
      <formula>MOD(ROW(),2)=0</formula>
    </cfRule>
  </conditionalFormatting>
  <printOptions horizontalCentered="1"/>
  <pageMargins left="0.25" right="0.25" top="0.25" bottom="0.4" header="0.3" footer="0.3"/>
  <pageSetup fitToHeight="0" fitToWidth="1" horizontalDpi="600" verticalDpi="600" orientation="landscape" scale="78" r:id="rId4"/>
  <headerFooter alignWithMargins="0">
    <oddFooter>&amp;R&amp;"Goudy Old Style,Regular"&amp;10Page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2016-08-23T15:40:43Z</cp:lastPrinted>
  <dcterms:modified xsi:type="dcterms:W3CDTF">2016-10-21T15:34:08Z</dcterms:modified>
  <cp:category/>
  <cp:version/>
  <cp:contentType/>
  <cp:contentStatus/>
</cp:coreProperties>
</file>